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A194" i="1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7" i="1"/>
  <c r="G94" i="1"/>
  <c r="K94" i="1"/>
  <c r="F102" i="1" l="1"/>
  <c r="A109" i="1"/>
  <c r="A105" i="1"/>
  <c r="A117" i="1"/>
  <c r="A119" i="1"/>
  <c r="F110" i="1"/>
  <c r="A114" i="1"/>
  <c r="A113" i="1"/>
  <c r="A118" i="1"/>
  <c r="A141" i="1"/>
  <c r="A101" i="1"/>
  <c r="F134" i="1"/>
  <c r="F94" i="1"/>
  <c r="A123" i="1"/>
  <c r="A137" i="1"/>
  <c r="D118" i="1"/>
  <c r="A120" i="1"/>
  <c r="A124" i="1"/>
  <c r="F118" i="1"/>
  <c r="A121" i="1"/>
  <c r="A125" i="1"/>
  <c r="D110" i="1"/>
  <c r="A112" i="1"/>
  <c r="A116" i="1"/>
  <c r="A110" i="1"/>
  <c r="A111" i="1"/>
  <c r="A98" i="1"/>
  <c r="A94" i="1"/>
  <c r="A99" i="1"/>
  <c r="A95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A160" i="1"/>
  <c r="E155" i="1"/>
  <c r="F186" i="1" l="1"/>
  <c r="H173" i="1"/>
  <c r="H170" i="1"/>
  <c r="F179" i="1"/>
  <c r="F171" i="1"/>
  <c r="F184" i="1"/>
  <c r="F168" i="1"/>
  <c r="F178" i="1"/>
  <c r="F180" i="1"/>
  <c r="H166" i="1"/>
  <c r="F176" i="1"/>
  <c r="F185" i="1"/>
  <c r="H180" i="1"/>
  <c r="F164" i="1"/>
  <c r="H167" i="1"/>
  <c r="H178" i="1"/>
  <c r="H164" i="1"/>
  <c r="H171" i="1"/>
  <c r="F187" i="1"/>
  <c r="H165" i="1"/>
  <c r="H179" i="1"/>
  <c r="F170" i="1"/>
  <c r="F172" i="1"/>
  <c r="H185" i="1"/>
  <c r="H183" i="1"/>
  <c r="H172" i="1"/>
  <c r="H169" i="1"/>
  <c r="F169" i="1"/>
  <c r="H168" i="1"/>
  <c r="F183" i="1"/>
  <c r="H184" i="1"/>
  <c r="F175" i="1"/>
  <c r="H177" i="1"/>
  <c r="F182" i="1"/>
  <c r="F173" i="1"/>
  <c r="H176" i="1"/>
  <c r="F166" i="1"/>
  <c r="H174" i="1"/>
  <c r="H187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<sst xmlns="http://schemas.openxmlformats.org/spreadsheetml/2006/main" count="564" uniqueCount="211">
  <si>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</si>
  <si>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</si>
  <si>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</si>
  <si>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</si>
  <si>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</si>
  <si>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</si>
  <si>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</si>
  <si>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</si>
  <si>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</si>
  <si>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</si>
  <si>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</si>
  <si>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</si>
  <si>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</si>
  <si>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</si>
  <si>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</si>
  <si>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</si>
  <si>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</si>
  <si>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</si>
  <si>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</si>
  <si>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</si>
  <si>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</si>
  <si>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</si>
  <si>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</si>
  <si>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</si>
  <si>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</si>
  <si>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</si>
  <si>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</si>
  <si>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</si>
  <si>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</si>
  <si>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</si>
  <si>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</si>
  <si>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</si>
  <si>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</si>
  <si>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</si>
  <si>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</si>
  <si>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</si>
  <si>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</si>
  <si>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</si>
  <si>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</si>
  <si>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</si>
  <si>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</si>
  <si>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</si>
  <si>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</si>
  <si>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</si>
  <si>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</si>
  <si>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</si>
  <si>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</si>
  <si>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</si>
  <si>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</si>
  <si>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</si>
  <si>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</si>
  <si>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</si>
  <si>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</si>
  <si>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</si>
  <si>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</si>
  <si>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</si>
  <si>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</si>
  <si>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</si>
  <si>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</si>
  <si>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</si>
  <si>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</si>
  <si>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</si>
  <si>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</si>
  <si>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</si>
  <si>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</si>
  <si>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</si>
  <si>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</si>
  <si>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</si>
  <si>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</si>
  <si>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</si>
  <si>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</si>
  <si>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</si>
  <si>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</si>
  <si>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</si>
  <si>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</si>
  <si>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</si>
  <si>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</si>
  <si>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</si>
  <si>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</si>
  <si>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</si>
  <si>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</si>
  <si>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</si>
  <si>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</si>
  <si>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</si>
  <si>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</si>
  <si>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</si>
  <si>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</si>
  <si>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</si>
  <si>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</si>
  <si>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</si>
  <si>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</si>
  <si>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</si>
  <si>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</si>
  <si>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</si>
  <si>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</si>
  <si>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</si>
  <si>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</si>
  <si>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</si>
  <si>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</si>
  <si>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</si>
  <si>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</si>
  <si>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</si>
  <si>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</si>
  <si>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</si>
  <si>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</si>
  <si>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</si>
  <si>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</si>
  <si>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</si>
  <si>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</si>
  <si>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</si>
  <si>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</si>
  <si>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</si>
  <si>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</si>
  <si>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</si>
  <si>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</si>
  <si>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</si>
  <si>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</si>
  <si>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</si>
  <si>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</si>
  <si>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</si>
  <si>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</si>
  <si>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</si>
  <si>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</si>
  <si>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</si>
  <si>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</si>
  <si>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</si>
  <si>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</si>
  <si>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</si>
  <si>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</si>
  <si>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</si>
  <si>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</si>
  <si>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</si>
  <si>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</si>
  <si>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</si>
  <si>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</si>
  <si>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</si>
  <si>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</si>
  <si>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</si>
  <si>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</si>
  <si>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</si>
  <si>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</si>
  <si>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</si>
  <si>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</si>
  <si>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</si>
  <si>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</si>
  <si>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</si>
  <si>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</si>
  <si>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</si>
  <si>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</si>
  <si>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</si>
  <si>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</si>
  <si>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</si>
  <si>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</si>
  <si>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</si>
  <si>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</si>
  <si>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</si>
  <si>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</si>
  <si>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</si>
  <si>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</si>
  <si>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</si>
  <si>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</si>
  <si>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</si>
  <si>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</si>
  <si>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</si>
  <si>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</si>
  <si>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</si>
  <si>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</si>
  <si>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</si>
  <si>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</si>
  <si>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</si>
  <si>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</si>
  <si>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</si>
  <si>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</si>
  <si>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</si>
  <si>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</si>
  <si>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</si>
  <si>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</si>
  <si>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ежегодно</t>
  </si>
  <si>
    <t>площадь дома</t>
  </si>
  <si>
    <t>Отчет об исполнении договора управления многоквартирного дома 
Первомайский, 33/2 в части текущего ремонта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</si>
  <si>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</si>
  <si>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</si>
  <si>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</si>
  <si>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</si>
  <si>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Промышленная очистка кровли от снега (575 м2).</t>
  </si>
  <si>
    <t xml:space="preserve">  -  очистка кровли от снега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</si>
  <si>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</si>
  <si>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</si>
  <si>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</si>
  <si>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</si>
  <si>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</si>
  <si>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20.02.2024, Решение</t>
  </si>
  <si>
    <t>АВР 2/24 от 01.03.2024, Решение</t>
  </si>
  <si>
    <t>Замена светильников в кабине лифта (4 шт.).</t>
  </si>
  <si>
    <t>Приобретение сантехнических материалов в комнату уборщицы.</t>
  </si>
  <si>
    <t>АВР 3/24 от 15.05.2024, Решение, счет №205 от 04.03.2024</t>
  </si>
  <si>
    <t>АВР 5/24 от 05.06.2024, счет №5238 от 18.04.2024</t>
  </si>
  <si>
    <t>Генеральная уборка подъезда (март).</t>
  </si>
  <si>
    <t>АВР 4/24 от 01.03.2024, Решение</t>
  </si>
  <si>
    <t>Профилактика шестеренчатого механизма AMV в ИТП.</t>
  </si>
  <si>
    <t>АВР 8/24 от 15.07.2024, Решение</t>
  </si>
  <si>
    <t>АВР 7/24 от 08.07.2024, Решение</t>
  </si>
  <si>
    <t>АВР 6/24 от 08.07.2024, Решение</t>
  </si>
  <si>
    <t>ежемесячно</t>
  </si>
  <si>
    <t>Благоустройство придомовой территории (приобретение рассады, покраска малых форм).</t>
  </si>
  <si>
    <t>АВР 9/24 от 28.02.2024</t>
  </si>
  <si>
    <t>АВР 10/24 от 28.12.2024</t>
  </si>
  <si>
    <t xml:space="preserve">Работы по содержанию земельного участка </t>
  </si>
  <si>
    <t xml:space="preserve">  -  мониторинг системы затопления</t>
  </si>
  <si>
    <t>Мониторинг системы затопления (1 полугодие).</t>
  </si>
  <si>
    <t>Мониторинг системы затопления (2 полугодие).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</si>
</sst>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5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34" fillId="3" borderId="0" xfId="6" applyNumberFormat="1" applyFont="1" applyFill="1" applyBorder="1" applyAlignment="1">
      <alignment horizontal="left" vertical="center" wrapText="1"/>
    </xf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4" fontId="24" fillId="0" borderId="0" xfId="0" applyNumberFormat="1" applyFont="1" applyBorder="1"/>
    <xf numFmtId="0" fontId="7" fillId="0" borderId="0" xfId="19" applyFont="1" applyFill="1" applyBorder="1" applyAlignment="1"/>
    <xf numFmtId="0" fontId="7" fillId="0" borderId="0" xfId="2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7" fillId="0" borderId="0" xfId="20" applyFont="1" applyFill="1" applyBorder="1"/>
    <xf numFmtId="0" fontId="35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vertical="center" wrapText="1"/>
    </xf>
    <xf numFmtId="0" fontId="18" fillId="0" borderId="1" xfId="5" applyFill="1" applyBorder="1" applyAlignment="1"/>
    <xf numFmtId="0" fontId="18" fillId="0" borderId="1" xfId="5" applyFill="1" applyBorder="1" applyAlignment="1">
      <alignment horizontal="center"/>
    </xf>
    <xf numFmtId="4" fontId="18" fillId="0" borderId="1" xfId="5" applyNumberFormat="1" applyFill="1" applyBorder="1" applyAlignment="1"/>
    <xf numFmtId="0" fontId="0" fillId="0" borderId="1" xfId="0" applyFill="1" applyBorder="1"/>
    <xf numFmtId="0" fontId="4" fillId="0" borderId="1" xfId="7" applyFont="1" applyFill="1" applyBorder="1" applyAlignment="1">
      <alignment horizontal="center"/>
    </xf>
    <xf numFmtId="0" fontId="32" fillId="0" borderId="1" xfId="7" applyNumberFormat="1" applyFont="1" applyFill="1" applyBorder="1" applyAlignment="1">
      <alignment horizontal="center" vertical="center"/>
    </xf>
    <xf numFmtId="4" fontId="15" fillId="0" borderId="1" xfId="7" applyNumberFormat="1" applyFill="1" applyBorder="1" applyAlignment="1"/>
    <xf numFmtId="0" fontId="4" fillId="0" borderId="1" xfId="7" applyFont="1" applyFill="1" applyBorder="1"/>
    <xf numFmtId="0" fontId="2" fillId="0" borderId="1" xfId="7" applyFont="1" applyFill="1" applyBorder="1"/>
    <xf numFmtId="0" fontId="15" fillId="0" borderId="1" xfId="7" applyFont="1" applyFill="1" applyBorder="1" applyAlignment="1"/>
    <xf numFmtId="0" fontId="15" fillId="0" borderId="1" xfId="7" applyFont="1" applyFill="1" applyBorder="1" applyAlignment="1">
      <alignment horizontal="center"/>
    </xf>
    <xf numFmtId="0" fontId="12" fillId="0" borderId="1" xfId="7" applyFont="1" applyFill="1" applyBorder="1"/>
    <xf numFmtId="0" fontId="16" fillId="0" borderId="1" xfId="5" applyFont="1" applyFill="1" applyBorder="1" applyAlignment="1"/>
    <xf numFmtId="0" fontId="14" fillId="0" borderId="1" xfId="5" applyFont="1" applyFill="1" applyBorder="1" applyAlignment="1">
      <alignment horizontal="center"/>
    </xf>
    <xf numFmtId="0" fontId="32" fillId="0" borderId="1" xfId="5" applyNumberFormat="1" applyFont="1" applyFill="1" applyBorder="1" applyAlignment="1">
      <alignment horizontal="center" vertical="center"/>
    </xf>
    <xf numFmtId="4" fontId="32" fillId="0" borderId="1" xfId="4" applyNumberFormat="1" applyFont="1" applyFill="1" applyBorder="1" applyAlignment="1"/>
    <xf numFmtId="0" fontId="11" fillId="0" borderId="1" xfId="2" applyFont="1" applyFill="1" applyBorder="1" applyAlignment="1"/>
    <xf numFmtId="0" fontId="11" fillId="0" borderId="1" xfId="4" applyFont="1" applyFill="1" applyBorder="1" applyAlignment="1">
      <alignment horizontal="center"/>
    </xf>
    <xf numFmtId="0" fontId="19" fillId="0" borderId="1" xfId="4" applyFill="1" applyBorder="1" applyAlignment="1">
      <alignment horizontal="center"/>
    </xf>
    <xf numFmtId="0" fontId="9" fillId="0" borderId="1" xfId="4" applyFont="1" applyFill="1" applyBorder="1" applyAlignment="1"/>
    <xf numFmtId="0" fontId="8" fillId="0" borderId="1" xfId="5" applyFont="1" applyFill="1" applyBorder="1" applyAlignment="1"/>
    <xf numFmtId="0" fontId="10" fillId="0" borderId="1" xfId="5" applyFont="1" applyFill="1" applyBorder="1" applyAlignment="1">
      <alignment horizontal="center"/>
    </xf>
    <xf numFmtId="0" fontId="10" fillId="0" borderId="1" xfId="5" applyFont="1" applyFill="1" applyBorder="1" applyAlignment="1"/>
    <xf numFmtId="0" fontId="3" fillId="0" borderId="1" xfId="2" applyFont="1" applyFill="1" applyBorder="1" applyAlignment="1"/>
    <xf numFmtId="0" fontId="5" fillId="0" borderId="1" xfId="4" applyFont="1" applyFill="1" applyBorder="1" applyAlignment="1">
      <alignment horizontal="center"/>
    </xf>
    <xf numFmtId="0" fontId="32" fillId="0" borderId="1" xfId="23" applyFont="1" applyFill="1" applyBorder="1" applyAlignment="1"/>
    <xf numFmtId="0" fontId="6" fillId="0" borderId="1" xfId="23" applyFont="1" applyFill="1" applyBorder="1" applyAlignment="1">
      <alignment horizontal="center"/>
    </xf>
    <xf numFmtId="0" fontId="6" fillId="0" borderId="1" xfId="23" applyFill="1" applyBorder="1" applyAlignment="1">
      <alignment horizontal="center"/>
    </xf>
    <xf numFmtId="4" fontId="32" fillId="0" borderId="1" xfId="23" applyNumberFormat="1" applyFont="1" applyFill="1" applyBorder="1" applyAlignment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/>
    </xf>
    <xf numFmtId="0" fontId="36" fillId="0" borderId="1" xfId="0" applyFont="1" applyFill="1" applyBorder="1" applyAlignment="1">
      <alignment horizontal="left" vertical="center"/>
    </xf>
    <xf numFmtId="0" fontId="0" fillId="0" borderId="1" xfId="0" applyBorder="1"/>
    <xf numFmtId="0" fontId="1" fillId="0" borderId="1" xfId="7" applyFont="1" applyFill="1" applyBorder="1" applyAlignment="1"/>
    <xf numFmtId="0" fontId="25" fillId="0" borderId="0" xfId="0" applyFont="1" applyFill="1" applyBorder="1" applyAlignment="1">
      <alignment wrapText="1"/>
    </xf>
    <xf numFmtId="4" fontId="24" fillId="0" borderId="0" xfId="0" applyNumberFormat="1" applyFont="1" applyFill="1" applyBorder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32">
    <cellStyle name="Обычный" xfId="0" builtinId="0"/>
    <cellStyle name="Обычный 2" xfId="1"/>
    <cellStyle name="Обычный 2 2" xfId="3"/>
    <cellStyle name="Обычный 2 3" xfId="13"/>
    <cellStyle name="Обычный 2 4" xfId="8"/>
    <cellStyle name="Обычный 2 5" xfId="6"/>
    <cellStyle name="Обычный 2 5 2" xfId="18"/>
    <cellStyle name="Обычный 2 5 3" xfId="12"/>
    <cellStyle name="Обычный 2 5 4" xfId="25"/>
    <cellStyle name="Обычный 2 5 5" xfId="30"/>
    <cellStyle name="Обычный 2 6" xfId="21"/>
    <cellStyle name="Обычный 2 7" xfId="26"/>
    <cellStyle name="Обычный 3" xfId="2"/>
    <cellStyle name="Обычный 3 2" xfId="14"/>
    <cellStyle name="Обычный 3 3" xfId="9"/>
    <cellStyle name="Обычный 3 4" xfId="22"/>
    <cellStyle name="Обычный 3 5" xfId="27"/>
    <cellStyle name="Обычный 3 9" xfId="19"/>
    <cellStyle name="Обычный 4" xfId="4"/>
    <cellStyle name="Обычный 4 2" xfId="15"/>
    <cellStyle name="Обычный 4 3" xfId="10"/>
    <cellStyle name="Обычный 4 4" xfId="23"/>
    <cellStyle name="Обычный 4 5" xfId="28"/>
    <cellStyle name="Обычный 5" xfId="5"/>
    <cellStyle name="Обычный 5 2" xfId="7"/>
    <cellStyle name="Обычный 5 2 2" xfId="16"/>
    <cellStyle name="Обычный 5 2 3" xfId="31"/>
    <cellStyle name="Обычный 5 3" xfId="11"/>
    <cellStyle name="Обычный 5 4" xfId="24"/>
    <cellStyle name="Обычный 5 5" xfId="29"/>
    <cellStyle name="Обычный 5 9" xfId="20"/>
    <cellStyle name="Обычный 6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66" sqref="A166:E16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85" t="s">
        <v>175</v>
      </c>
      <c r="B2" s="185"/>
      <c r="C2" s="185"/>
      <c r="D2" s="185"/>
      <c r="E2" s="185"/>
      <c r="F2" s="185"/>
      <c r="G2" s="185"/>
      <c r="H2" s="185"/>
      <c r="I2" s="185"/>
      <c r="J2" s="185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180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82" t="s">
        <v>1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7"/>
      <c r="L8" s="186"/>
      <c r="M8" s="107"/>
      <c r="N8" s="107"/>
      <c r="O8" s="68" t="s">
        <v>81</v>
      </c>
      <c r="R8" s="16"/>
    </row>
    <row r="9" spans="1:18" ht="18.75" customHeight="1" outlineLevel="1">
      <c r="A9" s="182" t="s">
        <v>2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7"/>
      <c r="L9" s="186"/>
      <c r="M9" s="107"/>
      <c r="N9" s="107"/>
      <c r="O9" s="68" t="s">
        <v>82</v>
      </c>
    </row>
    <row r="10" spans="1:18" ht="18.75" customHeight="1" outlineLevel="1">
      <c r="A10" s="182" t="s">
        <v>3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338947.22</v>
      </c>
      <c r="K10" s="107"/>
      <c r="L10" s="186"/>
      <c r="M10" s="107"/>
      <c r="N10" s="107"/>
      <c r="O10" s="68" t="s">
        <v>83</v>
      </c>
    </row>
    <row r="11" spans="1:18" outlineLevel="1">
      <c r="A11" s="182" t="s">
        <v>4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502789.19799999997</v>
      </c>
      <c r="K11" s="107"/>
      <c r="L11" s="186"/>
      <c r="M11" s="107"/>
      <c r="N11" s="107"/>
      <c r="O11" s="68" t="s">
        <v>84</v>
      </c>
    </row>
    <row r="12" spans="1:18" ht="18.75" customHeight="1" outlineLevel="1">
      <c r="A12" s="182" t="s">
        <v>5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375969.55</v>
      </c>
      <c r="K12" s="107"/>
      <c r="L12" s="186"/>
      <c r="M12" s="107"/>
      <c r="N12" s="107"/>
      <c r="O12" s="68" t="s">
        <v>85</v>
      </c>
    </row>
    <row r="13" spans="1:18" ht="18.75" customHeight="1" outlineLevel="1">
      <c r="A13" s="182" t="s">
        <v>6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126819.648</v>
      </c>
      <c r="K13" s="107"/>
      <c r="L13" s="186"/>
      <c r="M13" s="107"/>
      <c r="N13" s="107"/>
      <c r="O13" s="68" t="s">
        <v>86</v>
      </c>
    </row>
    <row r="14" spans="1:18" ht="18.75" customHeight="1" outlineLevel="1">
      <c r="A14" s="182" t="s">
        <v>7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0</v>
      </c>
      <c r="K14" s="107"/>
      <c r="L14" s="186"/>
      <c r="M14" s="107"/>
      <c r="N14" s="107"/>
      <c r="O14" s="68" t="s">
        <v>87</v>
      </c>
    </row>
    <row r="15" spans="1:18" ht="18.75" customHeight="1" outlineLevel="1">
      <c r="A15" s="182" t="s">
        <v>8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512104.66</v>
      </c>
      <c r="K15" s="107"/>
      <c r="L15" s="186"/>
      <c r="M15" s="107"/>
      <c r="N15" s="107"/>
      <c r="O15" s="68" t="s">
        <v>88</v>
      </c>
    </row>
    <row r="16" spans="1:18" ht="18.75" customHeight="1" outlineLevel="1">
      <c r="A16" s="182" t="s">
        <v>9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512104.66</v>
      </c>
      <c r="K16" s="107"/>
      <c r="L16" s="186"/>
      <c r="M16" s="107"/>
      <c r="N16" s="107"/>
      <c r="O16" s="68" t="s">
        <v>89</v>
      </c>
    </row>
    <row r="17" spans="1:23" ht="18.75" customHeight="1" outlineLevel="1">
      <c r="A17" s="182" t="s">
        <v>10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7"/>
      <c r="L17" s="186"/>
      <c r="M17" s="107"/>
      <c r="N17" s="107"/>
      <c r="O17" s="68" t="s">
        <v>90</v>
      </c>
    </row>
    <row r="18" spans="1:23" ht="18.75" customHeight="1" outlineLevel="1">
      <c r="A18" s="182" t="s">
        <v>11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7"/>
      <c r="L18" s="186"/>
      <c r="M18" s="107"/>
      <c r="N18" s="107"/>
      <c r="O18" s="68" t="s">
        <v>91</v>
      </c>
    </row>
    <row r="19" spans="1:23" ht="18.75" customHeight="1" outlineLevel="1">
      <c r="A19" s="182" t="s">
        <v>12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7"/>
      <c r="L19" s="186"/>
      <c r="M19" s="107"/>
      <c r="N19" s="107"/>
      <c r="O19" s="68" t="s">
        <v>92</v>
      </c>
    </row>
    <row r="20" spans="1:23" ht="18.75" customHeight="1" outlineLevel="1">
      <c r="A20" s="182" t="s">
        <v>13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7"/>
      <c r="L20" s="186"/>
      <c r="M20" s="107"/>
      <c r="N20" s="107"/>
      <c r="O20" s="68" t="s">
        <v>93</v>
      </c>
    </row>
    <row r="21" spans="1:23" ht="18.75" customHeight="1" outlineLevel="1">
      <c r="A21" s="182" t="s">
        <v>14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512104.66</v>
      </c>
      <c r="K21" s="107"/>
      <c r="L21" s="186"/>
      <c r="M21" s="107"/>
      <c r="N21" s="107"/>
      <c r="O21" s="68" t="s">
        <v>94</v>
      </c>
    </row>
    <row r="22" spans="1:23" ht="18.75" customHeight="1" outlineLevel="1">
      <c r="A22" s="182" t="s">
        <v>15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7"/>
      <c r="L22" s="186"/>
      <c r="M22" s="107"/>
      <c r="N22" s="107"/>
      <c r="O22" s="68" t="s">
        <v>95</v>
      </c>
    </row>
    <row r="23" spans="1:23" ht="18.75" customHeight="1" outlineLevel="1">
      <c r="A23" s="182" t="s">
        <v>16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7"/>
      <c r="L23" s="186"/>
      <c r="M23" s="107"/>
      <c r="N23" s="107"/>
      <c r="O23" s="68" t="s">
        <v>96</v>
      </c>
    </row>
    <row r="24" spans="1:23" ht="18.75" customHeight="1" outlineLevel="1">
      <c r="A24" s="182" t="s">
        <v>17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329631.75799999997</v>
      </c>
      <c r="K24" s="107"/>
      <c r="L24" s="186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69" t="s">
        <v>18</v>
      </c>
      <c r="B27" s="169"/>
      <c r="C27" s="169"/>
      <c r="D27" s="169"/>
      <c r="E27" s="169"/>
      <c r="F27" s="169" t="s">
        <v>19</v>
      </c>
      <c r="G27" s="169"/>
      <c r="H27" s="5" t="s">
        <v>55</v>
      </c>
      <c r="I27" s="169" t="s">
        <v>20</v>
      </c>
      <c r="J27" s="169"/>
      <c r="K27" s="107"/>
      <c r="L27" s="187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71168.831999999995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7"/>
      <c r="L28" s="187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68225.759999999995</v>
      </c>
      <c r="G29" s="164"/>
      <c r="H29" s="40" t="str">
        <f>VLOOKUP(A29,ПТО!$A$39:$D$53,3,FALSE)</f>
        <v>Ежемесячно</v>
      </c>
      <c r="I29" s="165">
        <f>VLOOKUP(A29,ПТО!$A$39:$D$53,4,FALSE)</f>
        <v>12</v>
      </c>
      <c r="J29" s="165"/>
      <c r="K29" s="107"/>
      <c r="L29" s="187"/>
      <c r="M29" s="107"/>
      <c r="N29" s="107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63" t="str">
        <f>ПТО!A41</f>
        <v xml:space="preserve">Работы по содержанию земельного участка </v>
      </c>
      <c r="B30" s="163"/>
      <c r="C30" s="163"/>
      <c r="D30" s="163"/>
      <c r="E30" s="163"/>
      <c r="F30" s="164">
        <f>VLOOKUP(A30,ПТО!$A$39:$D$53,2,FALSE)</f>
        <v>43343.423999999999</v>
      </c>
      <c r="G30" s="164"/>
      <c r="H30" s="40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7"/>
      <c r="L30" s="187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32106.239999999994</v>
      </c>
      <c r="G31" s="164"/>
      <c r="H31" s="40" t="str">
        <f>VLOOKUP(A31,ПТО!$A$39:$D$53,3,FALSE)</f>
        <v>Ежемесячно</v>
      </c>
      <c r="I31" s="165">
        <f>VLOOKUP(A31,ПТО!$A$39:$D$53,4,FALSE)</f>
        <v>12</v>
      </c>
      <c r="J31" s="165"/>
      <c r="K31" s="107"/>
      <c r="L31" s="187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0" t="e">
        <f>VLOOKUP(A32,ПТО!$A$39:$D$53,3,FALSE)</f>
        <v>#N/A</v>
      </c>
      <c r="I32" s="165" t="e">
        <f>VLOOKUP(A32,ПТО!$A$39:$D$53,4,FALSE)</f>
        <v>#N/A</v>
      </c>
      <c r="J32" s="165"/>
      <c r="K32" s="107"/>
      <c r="L32" s="187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10969.632</v>
      </c>
      <c r="G33" s="164"/>
      <c r="H33" s="40" t="str">
        <f>VLOOKUP(A33,ПТО!$A$39:$D$53,3,FALSE)</f>
        <v>Круглосуточно</v>
      </c>
      <c r="I33" s="165">
        <f>VLOOKUP(A33,ПТО!$A$39:$D$53,4,FALSE)</f>
        <v>12</v>
      </c>
      <c r="J33" s="165"/>
      <c r="K33" s="107"/>
      <c r="L33" s="187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48426.911999999997</v>
      </c>
      <c r="G34" s="164"/>
      <c r="H34" s="40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7"/>
      <c r="L34" s="187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3"/>
      <c r="C35" s="163"/>
      <c r="D35" s="163"/>
      <c r="E35" s="163"/>
      <c r="F35" s="164">
        <f>VLOOKUP(A35,ПТО!$A$39:$D$53,2,FALSE)</f>
        <v>106753.24800000001</v>
      </c>
      <c r="G35" s="164"/>
      <c r="H35" s="40" t="str">
        <f>VLOOKUP(A35,ПТО!$A$39:$D$53,3,FALSE)</f>
        <v>Ежемесячно</v>
      </c>
      <c r="I35" s="165">
        <f>VLOOKUP(A35,ПТО!$A$39:$D$53,4,FALSE)</f>
        <v>12</v>
      </c>
      <c r="J35" s="165"/>
      <c r="K35" s="107"/>
      <c r="L35" s="187"/>
      <c r="M35" s="113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69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4" t="e">
        <f>VLOOKUP(A36,ПТО!$A$39:$D$53,2,FALSE)</f>
        <v>#N/A</v>
      </c>
      <c r="G36" s="164"/>
      <c r="H36" s="40" t="e">
        <f>VLOOKUP(A36,ПТО!$A$39:$D$53,3,FALSE)</f>
        <v>#N/A</v>
      </c>
      <c r="I36" s="165" t="e">
        <f>VLOOKUP(A36,ПТО!$A$39:$D$53,4,FALSE)</f>
        <v>#N/A</v>
      </c>
      <c r="J36" s="165"/>
      <c r="K36" s="107"/>
      <c r="L36" s="187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0" t="e">
        <f>VLOOKUP(A37,ПТО!$A$39:$D$53,3,FALSE)</f>
        <v>#N/A</v>
      </c>
      <c r="I37" s="165" t="e">
        <f>VLOOKUP(A37,ПТО!$A$39:$D$53,4,FALSE)</f>
        <v>#N/A</v>
      </c>
      <c r="J37" s="165"/>
      <c r="K37" s="107"/>
      <c r="L37" s="187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0" t="e">
        <f>VLOOKUP(A38,ПТО!$A$39:$D$53,3,FALSE)</f>
        <v>#N/A</v>
      </c>
      <c r="I38" s="165" t="e">
        <f>VLOOKUP(A38,ПТО!$A$39:$D$53,4,FALSE)</f>
        <v>#N/A</v>
      </c>
      <c r="J38" s="165"/>
      <c r="K38" s="107"/>
      <c r="L38" s="187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0" t="e">
        <f>VLOOKUP(A39,ПТО!$A$39:$D$53,3,FALSE)</f>
        <v>#N/A</v>
      </c>
      <c r="I39" s="165" t="e">
        <f>VLOOKUP(A39,ПТО!$A$39:$D$53,4,FALSE)</f>
        <v>#N/A</v>
      </c>
      <c r="J39" s="165"/>
      <c r="K39" s="107"/>
      <c r="L39" s="187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0" t="e">
        <f>VLOOKUP(A40,ПТО!$A$39:$D$53,3,FALSE)</f>
        <v>#N/A</v>
      </c>
      <c r="I40" s="165" t="e">
        <f>VLOOKUP(A40,ПТО!$A$39:$D$53,4,FALSE)</f>
        <v>#N/A</v>
      </c>
      <c r="J40" s="165"/>
      <c r="K40" s="107"/>
      <c r="L40" s="187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0" t="e">
        <f>VLOOKUP(A41,ПТО!$A$39:$D$53,3,FALSE)</f>
        <v>#N/A</v>
      </c>
      <c r="I41" s="165" t="e">
        <f>VLOOKUP(A41,ПТО!$A$39:$D$53,4,FALSE)</f>
        <v>#N/A</v>
      </c>
      <c r="J41" s="165"/>
      <c r="K41" s="107"/>
      <c r="L41" s="187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0" t="e">
        <f>VLOOKUP(A42,ПТО!$A$39:$D$53,3,FALSE)</f>
        <v>#N/A</v>
      </c>
      <c r="I42" s="165" t="e">
        <f>VLOOKUP(A42,ПТО!$A$39:$D$53,4,FALSE)</f>
        <v>#N/A</v>
      </c>
      <c r="J42" s="165"/>
      <c r="K42" s="107"/>
      <c r="L42" s="187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63" t="str">
        <f>ПТО!A2</f>
        <v>Техническое освидетельствование лифта.</v>
      </c>
      <c r="B43" s="163"/>
      <c r="C43" s="163"/>
      <c r="D43" s="163"/>
      <c r="E43" s="163"/>
      <c r="F43" s="164">
        <f>VLOOKUP(A43,ПТО!$A$2:$D$31,4,FALSE)</f>
        <v>8100</v>
      </c>
      <c r="G43" s="164"/>
      <c r="H43" s="19" t="str">
        <f>VLOOKUP(A43,ПТО!$A$2:$D$31,2,FALSE)</f>
        <v>ежегодно</v>
      </c>
      <c r="I43" s="165">
        <f>VLOOKUP(A43,ПТО!$A$2:$D$31,3,FALSE)</f>
        <v>1</v>
      </c>
      <c r="J43" s="165"/>
      <c r="K43" s="107"/>
      <c r="L43" s="187"/>
      <c r="M43" s="113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63" t="str">
        <f>ПТО!A3</f>
        <v>Мониторинг системы затопления (1 полугодие).</v>
      </c>
      <c r="B44" s="163"/>
      <c r="C44" s="163"/>
      <c r="D44" s="163"/>
      <c r="E44" s="163"/>
      <c r="F44" s="164">
        <f>VLOOKUP(A44,ПТО!$A$2:$D$31,4,FALSE)</f>
        <v>1800</v>
      </c>
      <c r="G44" s="164"/>
      <c r="H44" s="25" t="str">
        <f>VLOOKUP(A44,ПТО!$A$2:$D$31,2,FALSE)</f>
        <v>ежемесячно</v>
      </c>
      <c r="I44" s="165">
        <f>VLOOKUP(A44,ПТО!$A$2:$D$31,3,FALSE)</f>
        <v>6</v>
      </c>
      <c r="J44" s="165"/>
      <c r="K44" s="107"/>
      <c r="L44" s="187"/>
      <c r="M44" s="113"/>
      <c r="N44" s="107"/>
      <c r="O44" s="23" t="str">
        <f t="shared" si="1"/>
        <v>Мониторинг системы затопления (1 полугодие).</v>
      </c>
      <c r="R44" s="22" t="s">
        <v>70</v>
      </c>
    </row>
    <row r="45" spans="1:18" ht="51" customHeight="1" outlineLevel="1">
      <c r="A45" s="163" t="str">
        <f>ПТО!A4</f>
        <v>Мониторинг системы затопления (2 полугодие).</v>
      </c>
      <c r="B45" s="163"/>
      <c r="C45" s="163"/>
      <c r="D45" s="163"/>
      <c r="E45" s="163"/>
      <c r="F45" s="164">
        <f>VLOOKUP(A45,ПТО!$A$2:$D$31,4,FALSE)</f>
        <v>1800</v>
      </c>
      <c r="G45" s="164"/>
      <c r="H45" s="25" t="str">
        <f>VLOOKUP(A45,ПТО!$A$2:$D$31,2,FALSE)</f>
        <v>ежемесячно</v>
      </c>
      <c r="I45" s="165">
        <f>VLOOKUP(A45,ПТО!$A$2:$D$31,3,FALSE)</f>
        <v>6</v>
      </c>
      <c r="J45" s="165"/>
      <c r="K45" s="107"/>
      <c r="L45" s="187"/>
      <c r="M45" s="113"/>
      <c r="N45" s="107"/>
      <c r="O45" s="23" t="str">
        <f t="shared" si="1"/>
        <v>Мониторинг системы затопления (2 полугодие).</v>
      </c>
      <c r="R45" s="22" t="s">
        <v>70</v>
      </c>
    </row>
    <row r="46" spans="1:18" ht="51" customHeight="1" outlineLevel="1">
      <c r="A46" s="163" t="str">
        <f>ПТО!A5</f>
        <v>Промышленная очистка кровли от снега (575 м2).</v>
      </c>
      <c r="B46" s="163"/>
      <c r="C46" s="163"/>
      <c r="D46" s="163"/>
      <c r="E46" s="163"/>
      <c r="F46" s="164">
        <f>VLOOKUP(A46,ПТО!$A$2:$D$31,4,FALSE)</f>
        <v>15525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7"/>
      <c r="L46" s="187"/>
      <c r="M46" s="113"/>
      <c r="N46" s="107"/>
      <c r="O46" s="23" t="str">
        <f t="shared" si="1"/>
        <v>Промышленная очистка кровли от снега (575 м2).</v>
      </c>
      <c r="R46" s="22" t="s">
        <v>70</v>
      </c>
    </row>
    <row r="47" spans="1:18" ht="51" customHeight="1" outlineLevel="1">
      <c r="A47" s="163" t="str">
        <f>ПТО!A6</f>
        <v>Механизированная уборка и вывоз снега с придомовой территории.</v>
      </c>
      <c r="B47" s="163"/>
      <c r="C47" s="163"/>
      <c r="D47" s="163"/>
      <c r="E47" s="163"/>
      <c r="F47" s="164">
        <f>VLOOKUP(A47,ПТО!$A$2:$D$31,4,FALSE)</f>
        <v>16920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7"/>
      <c r="L47" s="187"/>
      <c r="M47" s="113"/>
      <c r="N47" s="107"/>
      <c r="O47" s="23" t="str">
        <f t="shared" si="1"/>
        <v>Механизированная уборка и вывоз снега с придомовой территории.</v>
      </c>
      <c r="R47" s="22" t="s">
        <v>70</v>
      </c>
    </row>
    <row r="48" spans="1:18" ht="51" customHeight="1" outlineLevel="1">
      <c r="A48" s="163" t="str">
        <f>ПТО!A7</f>
        <v>Замена светильников в кабине лифта (4 шт.).</v>
      </c>
      <c r="B48" s="163"/>
      <c r="C48" s="163"/>
      <c r="D48" s="163"/>
      <c r="E48" s="163"/>
      <c r="F48" s="164">
        <f>VLOOKUP(A48,ПТО!$A$2:$D$31,4,FALSE)</f>
        <v>1216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7"/>
      <c r="L48" s="187"/>
      <c r="M48" s="113"/>
      <c r="N48" s="107"/>
      <c r="O48" s="23" t="str">
        <f t="shared" si="1"/>
        <v>Замена светильников в кабине лифта (4 шт.).</v>
      </c>
      <c r="R48" s="22" t="s">
        <v>70</v>
      </c>
    </row>
    <row r="49" spans="1:18" ht="51" customHeight="1" outlineLevel="1">
      <c r="A49" s="163" t="str">
        <f>ПТО!A8</f>
        <v>Генеральная уборка подъезда (март).</v>
      </c>
      <c r="B49" s="163"/>
      <c r="C49" s="163"/>
      <c r="D49" s="163"/>
      <c r="E49" s="163"/>
      <c r="F49" s="164">
        <f>VLOOKUP(A49,ПТО!$A$2:$D$31,4,FALSE)</f>
        <v>5000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7"/>
      <c r="L49" s="187"/>
      <c r="M49" s="113"/>
      <c r="N49" s="107"/>
      <c r="O49" s="23" t="str">
        <f t="shared" si="1"/>
        <v>Генеральная уборка подъезда (март).</v>
      </c>
      <c r="R49" s="22" t="s">
        <v>70</v>
      </c>
    </row>
    <row r="50" spans="1:18" ht="51" customHeight="1" outlineLevel="1">
      <c r="A50" s="163" t="str">
        <f>ПТО!A9</f>
        <v>Приобретение сантехнических материалов в комнату уборщицы.</v>
      </c>
      <c r="B50" s="163"/>
      <c r="C50" s="163"/>
      <c r="D50" s="163"/>
      <c r="E50" s="163"/>
      <c r="F50" s="164">
        <f>VLOOKUP(A50,ПТО!$A$2:$D$31,4,FALSE)</f>
        <v>7157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7"/>
      <c r="L50" s="187"/>
      <c r="M50" s="113"/>
      <c r="N50" s="107"/>
      <c r="O50" s="23" t="str">
        <f t="shared" si="1"/>
        <v>Приобретение сантехнических материалов в комнату уборщицы.</v>
      </c>
      <c r="R50" s="22" t="s">
        <v>70</v>
      </c>
    </row>
    <row r="51" spans="1:18" ht="51" customHeight="1" outlineLevel="1">
      <c r="A51" s="163" t="str">
        <f>ПТО!A10</f>
        <v>Благоустройство придомовой территории (приобретение рассады, покраска малых форм).</v>
      </c>
      <c r="B51" s="163"/>
      <c r="C51" s="163"/>
      <c r="D51" s="163"/>
      <c r="E51" s="163"/>
      <c r="F51" s="164">
        <f>VLOOKUP(A51,ПТО!$A$2:$D$31,4,FALSE)</f>
        <v>11510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7"/>
      <c r="L51" s="187"/>
      <c r="M51" s="113"/>
      <c r="N51" s="107"/>
      <c r="O51" s="23" t="str">
        <f t="shared" si="1"/>
        <v>Благоустройство придомовой территории (приобретение рассады, покраска малых форм).</v>
      </c>
      <c r="R51" s="22" t="s">
        <v>70</v>
      </c>
    </row>
    <row r="52" spans="1:18" ht="51" customHeight="1" outlineLevel="1">
      <c r="A52" s="163" t="str">
        <f>ПТО!A11</f>
        <v>Профилактика шестеренчатого механизма AMV в ИТП.</v>
      </c>
      <c r="B52" s="163"/>
      <c r="C52" s="163"/>
      <c r="D52" s="163"/>
      <c r="E52" s="163"/>
      <c r="F52" s="164">
        <f>VLOOKUP(A52,ПТО!$A$2:$D$31,4,FALSE)</f>
        <v>1365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7"/>
      <c r="L52" s="187"/>
      <c r="M52" s="113"/>
      <c r="N52" s="107"/>
      <c r="O52" s="23" t="str">
        <f t="shared" si="1"/>
        <v>Профилактика шестеренчатого механизма AMV в ИТП.</v>
      </c>
      <c r="R52" s="22" t="s">
        <v>70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4" t="e">
        <f>VLOOKUP(A53,ПТО!$A$2:$D$31,4,FALSE)</f>
        <v>#N/A</v>
      </c>
      <c r="G53" s="164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7"/>
      <c r="L53" s="187"/>
      <c r="M53" s="113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4" t="e">
        <f>VLOOKUP(A54,ПТО!$A$2:$D$31,4,FALSE)</f>
        <v>#N/A</v>
      </c>
      <c r="G54" s="164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7"/>
      <c r="L54" s="187"/>
      <c r="M54" s="113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4" t="e">
        <f>VLOOKUP(A55,ПТО!$A$2:$D$31,4,FALSE)</f>
        <v>#N/A</v>
      </c>
      <c r="G55" s="164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7"/>
      <c r="L55" s="187"/>
      <c r="M55" s="113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7"/>
      <c r="L56" s="187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7"/>
      <c r="L57" s="187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7"/>
      <c r="L58" s="187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7"/>
      <c r="L59" s="187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7"/>
      <c r="L60" s="187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7"/>
      <c r="L61" s="187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7"/>
      <c r="L62" s="187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7"/>
      <c r="L63" s="187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7"/>
      <c r="L64" s="187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7"/>
      <c r="L65" s="187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7"/>
      <c r="L66" s="187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7"/>
      <c r="L67" s="187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7"/>
      <c r="L68" s="187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7"/>
      <c r="L69" s="187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7"/>
      <c r="L70" s="187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3"/>
      <c r="L71" s="187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7"/>
      <c r="L72" s="187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81" t="s">
        <v>25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7"/>
      <c r="L75" s="170"/>
      <c r="M75" s="107"/>
      <c r="N75" s="107"/>
      <c r="O75" s="68" t="s">
        <v>98</v>
      </c>
    </row>
    <row r="76" spans="1:16384" ht="18.75" customHeight="1" outlineLevel="1">
      <c r="A76" s="181" t="s">
        <v>26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7"/>
      <c r="L76" s="170"/>
      <c r="M76" s="107"/>
      <c r="N76" s="107"/>
      <c r="O76" s="68" t="s">
        <v>99</v>
      </c>
    </row>
    <row r="77" spans="1:16384" ht="21.75" customHeight="1" outlineLevel="1">
      <c r="A77" s="181" t="s">
        <v>27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7"/>
      <c r="L77" s="170"/>
      <c r="M77" s="107"/>
      <c r="N77" s="107"/>
      <c r="O77" s="68" t="s">
        <v>100</v>
      </c>
    </row>
    <row r="78" spans="1:16384" ht="18.75" customHeight="1" outlineLevel="1">
      <c r="A78" s="181" t="s">
        <v>28</v>
      </c>
      <c r="B78" s="181"/>
      <c r="C78" s="181"/>
      <c r="D78" s="181"/>
      <c r="E78" s="181"/>
      <c r="F78" s="181"/>
      <c r="G78" s="181"/>
      <c r="H78" s="181"/>
      <c r="I78" s="181"/>
      <c r="J78" s="95">
        <f>VLOOKUP(O78,АО,3,FALSE)</f>
        <v>0</v>
      </c>
      <c r="K78" s="107"/>
      <c r="L78" s="170"/>
      <c r="M78" s="107"/>
      <c r="N78" s="107"/>
      <c r="O78" s="68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71" t="s">
        <v>1</v>
      </c>
      <c r="B81" s="171"/>
      <c r="C81" s="171"/>
      <c r="D81" s="171"/>
      <c r="E81" s="171"/>
      <c r="F81" s="171"/>
      <c r="G81" s="171"/>
      <c r="H81" s="171"/>
      <c r="I81" s="171"/>
      <c r="J81" s="95">
        <f t="shared" ref="J81:J90" si="2">VLOOKUP(O81,АО,3,FALSE)</f>
        <v>0</v>
      </c>
      <c r="K81" s="107"/>
      <c r="L81" s="188"/>
      <c r="M81" s="107"/>
      <c r="N81" s="107"/>
      <c r="O81" s="68" t="s">
        <v>102</v>
      </c>
    </row>
    <row r="82" spans="1:15" outlineLevel="1">
      <c r="A82" s="171" t="s">
        <v>2</v>
      </c>
      <c r="B82" s="171"/>
      <c r="C82" s="171"/>
      <c r="D82" s="171"/>
      <c r="E82" s="171"/>
      <c r="F82" s="171"/>
      <c r="G82" s="171"/>
      <c r="H82" s="171"/>
      <c r="I82" s="171"/>
      <c r="J82" s="95">
        <f t="shared" si="2"/>
        <v>0</v>
      </c>
      <c r="K82" s="107"/>
      <c r="L82" s="188"/>
      <c r="M82" s="107"/>
      <c r="N82" s="107"/>
      <c r="O82" s="68" t="s">
        <v>103</v>
      </c>
    </row>
    <row r="83" spans="1:15" outlineLevel="1">
      <c r="A83" s="178" t="s">
        <v>3</v>
      </c>
      <c r="B83" s="179"/>
      <c r="C83" s="179"/>
      <c r="D83" s="179"/>
      <c r="E83" s="179"/>
      <c r="F83" s="179"/>
      <c r="G83" s="179"/>
      <c r="H83" s="179"/>
      <c r="I83" s="180"/>
      <c r="J83" s="95">
        <f t="shared" si="2"/>
        <v>233757.3</v>
      </c>
      <c r="K83" s="107"/>
      <c r="L83" s="188"/>
      <c r="M83" s="107"/>
      <c r="N83" s="107"/>
      <c r="O83" s="68" t="s">
        <v>104</v>
      </c>
    </row>
    <row r="84" spans="1:15" outlineLevel="1">
      <c r="A84" s="178" t="s">
        <v>15</v>
      </c>
      <c r="B84" s="179"/>
      <c r="C84" s="179"/>
      <c r="D84" s="179"/>
      <c r="E84" s="179"/>
      <c r="F84" s="179"/>
      <c r="G84" s="179"/>
      <c r="H84" s="179"/>
      <c r="I84" s="180"/>
      <c r="J84" s="95">
        <f t="shared" si="2"/>
        <v>0</v>
      </c>
      <c r="K84" s="107"/>
      <c r="L84" s="188"/>
      <c r="M84" s="107"/>
      <c r="N84" s="107"/>
      <c r="O84" s="68" t="s">
        <v>105</v>
      </c>
    </row>
    <row r="85" spans="1:15" outlineLevel="1">
      <c r="A85" s="178" t="s">
        <v>16</v>
      </c>
      <c r="B85" s="179"/>
      <c r="C85" s="179"/>
      <c r="D85" s="179"/>
      <c r="E85" s="179"/>
      <c r="F85" s="179"/>
      <c r="G85" s="179"/>
      <c r="H85" s="179"/>
      <c r="I85" s="180"/>
      <c r="J85" s="95">
        <f t="shared" si="2"/>
        <v>0</v>
      </c>
      <c r="K85" s="107"/>
      <c r="L85" s="188"/>
      <c r="M85" s="107"/>
      <c r="N85" s="107"/>
      <c r="O85" s="68" t="s">
        <v>106</v>
      </c>
    </row>
    <row r="86" spans="1:15" outlineLevel="1">
      <c r="A86" s="178" t="s">
        <v>17</v>
      </c>
      <c r="B86" s="179"/>
      <c r="C86" s="179"/>
      <c r="D86" s="179"/>
      <c r="E86" s="179"/>
      <c r="F86" s="179"/>
      <c r="G86" s="179"/>
      <c r="H86" s="179"/>
      <c r="I86" s="180"/>
      <c r="J86" s="95">
        <f t="shared" si="2"/>
        <v>161612.75000000012</v>
      </c>
      <c r="K86" s="107"/>
      <c r="L86" s="188"/>
      <c r="M86" s="107"/>
      <c r="N86" s="107"/>
      <c r="O86" s="68" t="s">
        <v>107</v>
      </c>
    </row>
    <row r="87" spans="1:15" ht="18.75" customHeight="1" outlineLevel="1">
      <c r="A87" s="178" t="s">
        <v>25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7"/>
      <c r="L87" s="188"/>
      <c r="M87" s="107"/>
      <c r="N87" s="107"/>
      <c r="O87" s="68" t="s">
        <v>108</v>
      </c>
    </row>
    <row r="88" spans="1:15" ht="18.75" customHeight="1" outlineLevel="1">
      <c r="A88" s="178" t="s">
        <v>26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7"/>
      <c r="L88" s="188"/>
      <c r="M88" s="107"/>
      <c r="N88" s="107"/>
      <c r="O88" s="68" t="s">
        <v>109</v>
      </c>
    </row>
    <row r="89" spans="1:15" ht="18.75" customHeight="1" outlineLevel="1">
      <c r="A89" s="178" t="s">
        <v>27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7"/>
      <c r="L89" s="188"/>
      <c r="M89" s="107"/>
      <c r="N89" s="107"/>
      <c r="O89" s="68" t="s">
        <v>110</v>
      </c>
    </row>
    <row r="90" spans="1:15" ht="18.75" customHeight="1" outlineLevel="1">
      <c r="A90" s="178" t="s">
        <v>28</v>
      </c>
      <c r="B90" s="179"/>
      <c r="C90" s="179"/>
      <c r="D90" s="179"/>
      <c r="E90" s="179"/>
      <c r="F90" s="179"/>
      <c r="G90" s="179"/>
      <c r="H90" s="179"/>
      <c r="I90" s="180"/>
      <c r="J90" s="95">
        <f t="shared" si="2"/>
        <v>0</v>
      </c>
      <c r="K90" s="107"/>
      <c r="L90" s="188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72" t="s">
        <v>46</v>
      </c>
      <c r="B93" s="172"/>
      <c r="C93" s="172"/>
      <c r="D93" s="175" t="s">
        <v>47</v>
      </c>
      <c r="E93" s="175"/>
      <c r="F93" s="10" t="s">
        <v>48</v>
      </c>
      <c r="G93" s="172" t="s">
        <v>49</v>
      </c>
      <c r="H93" s="172"/>
      <c r="I93" s="172"/>
      <c r="J93" s="172"/>
      <c r="K93" s="107"/>
      <c r="L93" s="107"/>
      <c r="M93" s="107"/>
      <c r="N93" s="107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3">
        <f>VLOOKUP("эл",АО,5,FALSE)</f>
        <v>185978.97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123985.98</v>
      </c>
      <c r="L95" s="189"/>
      <c r="O95" s="1" t="s">
        <v>112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252198.49</v>
      </c>
      <c r="L96" s="189"/>
      <c r="O96" s="1" t="s">
        <v>113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89"/>
      <c r="O97" s="1" t="s">
        <v>114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185978.97</v>
      </c>
      <c r="L98" s="189"/>
      <c r="O98" s="1" t="s">
        <v>115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185978.97</v>
      </c>
      <c r="L99" s="189"/>
      <c r="O99" s="1" t="s">
        <v>116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117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118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135424.51999999999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8490.565517241379</v>
      </c>
      <c r="L103" s="189"/>
      <c r="O103" s="1" t="s">
        <v>121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136178.82</v>
      </c>
      <c r="L104" s="189"/>
      <c r="O104" s="1" t="s">
        <v>122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89"/>
      <c r="O105" s="1" t="s">
        <v>123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135424.51999999999</v>
      </c>
      <c r="L106" s="189"/>
      <c r="O106" s="1" t="s">
        <v>124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135424.51999999999</v>
      </c>
      <c r="L107" s="189"/>
      <c r="O107" s="1" t="s">
        <v>125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126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127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137567.91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7094.7864878803503</v>
      </c>
      <c r="L111" s="189"/>
      <c r="O111" s="1" t="s">
        <v>129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142103.5</v>
      </c>
      <c r="L112" s="189"/>
      <c r="O112" s="1" t="s">
        <v>130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0</v>
      </c>
      <c r="L113" s="189"/>
      <c r="O113" s="1" t="s">
        <v>131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137567.91</v>
      </c>
      <c r="L114" s="189"/>
      <c r="O114" s="1" t="s">
        <v>132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137567.91</v>
      </c>
      <c r="L115" s="189"/>
      <c r="O115" s="1" t="s">
        <v>133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134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135</v>
      </c>
    </row>
    <row r="118" spans="1:15" ht="32.25" customHeight="1" outlineLevel="1">
      <c r="A118" s="176" t="str">
        <f>IF(VLOOKUP("тко",АО,3,FALSE)&gt;0,"Обращение с ТКО",0)</f>
        <v>Обращение с ТКО</v>
      </c>
      <c r="B118" s="176"/>
      <c r="C118" s="176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3">
        <f>VLOOKUP("тко",АО,5,FALSE)</f>
        <v>102895.43</v>
      </c>
      <c r="H118" s="174"/>
      <c r="I118" s="174"/>
      <c r="J118" s="174"/>
      <c r="L118" s="45"/>
    </row>
    <row r="119" spans="1:15" ht="32.25" customHeight="1" outlineLevel="2">
      <c r="A119" s="171" t="str">
        <f t="shared" ref="A119:A125" si="8">IF(VLOOKUP("тко",АО,3,FALSE)&gt;0,VLOOKUP(O119,АО,2,FALSE),0)</f>
        <v>Общий объем потребления, нат. показ.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173.85683630711</v>
      </c>
      <c r="L119" s="45"/>
      <c r="O119" s="1" t="s">
        <v>137</v>
      </c>
    </row>
    <row r="120" spans="1:15" ht="32.25" customHeight="1" outlineLevel="2">
      <c r="A120" s="171" t="str">
        <f t="shared" si="8"/>
        <v>Оплачено потребителями, руб.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103530.57</v>
      </c>
      <c r="L120" s="45"/>
      <c r="O120" s="1" t="s">
        <v>138</v>
      </c>
    </row>
    <row r="121" spans="1:15" ht="32.25" customHeight="1" outlineLevel="2">
      <c r="A121" s="171" t="str">
        <f t="shared" si="8"/>
        <v>Задолженность потребителей, руб.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71" t="str">
        <f t="shared" si="8"/>
        <v>Начислено поставщиком (поставщиками) коммунального ресурса, руб.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102895.43</v>
      </c>
      <c r="L122" s="45"/>
      <c r="O122" s="1" t="s">
        <v>140</v>
      </c>
    </row>
    <row r="123" spans="1:15" ht="32.25" customHeight="1" outlineLevel="2">
      <c r="A123" s="171" t="str">
        <f t="shared" si="8"/>
        <v>Оплачено поставщику (поставщикам) коммунального ресурса, руб.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102895.43</v>
      </c>
      <c r="L123" s="45"/>
      <c r="O123" s="1" t="s">
        <v>141</v>
      </c>
    </row>
    <row r="124" spans="1:15" ht="32.25" customHeight="1" outlineLevel="2">
      <c r="A124" s="171" t="str">
        <f t="shared" si="8"/>
        <v>Задолженность перед поставщиком (поставщиками) коммунального ресурса, руб.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71" t="str">
        <f t="shared" si="8"/>
        <v>Размер пени и штрафов, уплаченных поставщику (поставщикам) коммунального ресурса, руб.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76">
        <f>IF(VLOOKUP("гвс",АО,3,FALSE)&gt;0,"Горячее водоснабжение",0)</f>
        <v>0</v>
      </c>
      <c r="B126" s="176"/>
      <c r="C126" s="176"/>
      <c r="D126" s="174">
        <f>IF(VLOOKUP("гвс",АО,3,FALSE)&gt;0,VLOOKUP("гвс",АО,3,FALSE),0)</f>
        <v>0</v>
      </c>
      <c r="E126" s="174"/>
      <c r="F126" s="13">
        <f>IF(VLOOKUP("гвс",АО,3,FALSE)&gt;0,VLOOKUP("гвс",АО,4,FALSE),0)</f>
        <v>0</v>
      </c>
      <c r="G126" s="173">
        <f>VLOOKUP("гвс",АО,5,FALSE)</f>
        <v>0</v>
      </c>
      <c r="H126" s="174"/>
      <c r="I126" s="174"/>
      <c r="J126" s="174"/>
      <c r="L126" s="45"/>
    </row>
    <row r="127" spans="1:15" ht="32.25" hidden="1" customHeight="1" outlineLevel="2">
      <c r="A127" s="171">
        <f t="shared" ref="A127:A133" si="10">IF(VLOOKUP("гвс",АО,3,FALSE)&gt;0,VLOOKUP(O127,АО,2,FALSE),0)</f>
        <v>0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71">
        <f t="shared" si="10"/>
        <v>0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71">
        <f t="shared" si="10"/>
        <v>0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71">
        <f t="shared" si="10"/>
        <v>0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71">
        <f t="shared" si="10"/>
        <v>0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71">
        <f t="shared" si="10"/>
        <v>0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71">
        <f t="shared" si="10"/>
        <v>0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4"/>
      <c r="I134" s="174"/>
      <c r="J134" s="174"/>
      <c r="L134" s="45"/>
    </row>
    <row r="135" spans="1:15" ht="32.25" hidden="1" customHeight="1" outlineLevel="2">
      <c r="A135" s="171">
        <f t="shared" ref="A135:A141" si="12">IF(VLOOKUP("отопление",АО,3,FALSE)&gt;0,VLOOKUP(O135,АО,2,FALSE),0)</f>
        <v>0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71">
        <f t="shared" si="12"/>
        <v>0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71">
        <f t="shared" si="12"/>
        <v>0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71">
        <f t="shared" si="12"/>
        <v>0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71">
        <f t="shared" si="12"/>
        <v>0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71">
        <f t="shared" si="12"/>
        <v>0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71">
        <f t="shared" si="12"/>
        <v>0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71" t="s">
        <v>43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0</v>
      </c>
      <c r="O144" t="s">
        <v>169</v>
      </c>
    </row>
    <row r="145" spans="1:15" ht="18.75" customHeight="1" outlineLevel="1">
      <c r="A145" s="171" t="s">
        <v>44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71" t="s">
        <v>172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0</v>
      </c>
      <c r="O146" t="s">
        <v>171</v>
      </c>
    </row>
    <row r="149" spans="1:15" ht="52.5" customHeight="1">
      <c r="A149" s="167" t="s">
        <v>179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180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66" t="s">
        <v>190</v>
      </c>
      <c r="B154" s="166"/>
      <c r="C154" s="166"/>
      <c r="D154" s="166"/>
      <c r="E154" s="27">
        <f>ПТО!G1</f>
        <v>-106450.16</v>
      </c>
    </row>
    <row r="155" spans="1:15" ht="34.5" customHeight="1">
      <c r="A155" s="168" t="s">
        <v>189</v>
      </c>
      <c r="B155" s="168"/>
      <c r="C155" s="168"/>
      <c r="D155" s="168"/>
      <c r="E155" s="28">
        <f>J13</f>
        <v>126819.648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18</v>
      </c>
      <c r="B157" s="169"/>
      <c r="C157" s="169"/>
      <c r="D157" s="169"/>
      <c r="E157" s="169"/>
      <c r="F157" s="169" t="s">
        <v>19</v>
      </c>
      <c r="G157" s="169"/>
      <c r="H157" s="20" t="s">
        <v>55</v>
      </c>
      <c r="I157" s="169" t="s">
        <v>20</v>
      </c>
      <c r="J157" s="169"/>
    </row>
    <row r="158" spans="1:15" ht="29.25" customHeight="1">
      <c r="A158" s="163" t="str">
        <f t="shared" ref="A158:A163" si="14">IF(N158&gt;0,N158,0)</f>
        <v>Техническое освидетельствование лифта.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8100</v>
      </c>
      <c r="G158" s="164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1</v>
      </c>
      <c r="J158" s="165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3" t="str">
        <f t="shared" si="14"/>
        <v>Мониторинг системы затопления (1 полугодие).</v>
      </c>
      <c r="B159" s="163"/>
      <c r="C159" s="163"/>
      <c r="D159" s="163"/>
      <c r="E159" s="163"/>
      <c r="F159" s="164">
        <f t="shared" si="15"/>
        <v>1800</v>
      </c>
      <c r="G159" s="164"/>
      <c r="H159" s="24" t="str">
        <f t="shared" si="16"/>
        <v>ежемесячно</v>
      </c>
      <c r="I159" s="165">
        <f t="shared" si="17"/>
        <v>6</v>
      </c>
      <c r="J159" s="165"/>
      <c r="M159" s="22" t="s">
        <v>70</v>
      </c>
      <c r="N159" s="1" t="str">
        <v>Мониторинг системы затопления (1 полугодие).</v>
      </c>
    </row>
    <row r="160" spans="1:15" ht="28.5" customHeight="1">
      <c r="A160" s="163" t="str">
        <f t="shared" si="14"/>
        <v>Мониторинг системы затопления (2 полугодие).</v>
      </c>
      <c r="B160" s="163"/>
      <c r="C160" s="163"/>
      <c r="D160" s="163"/>
      <c r="E160" s="163"/>
      <c r="F160" s="164">
        <f t="shared" si="15"/>
        <v>1800</v>
      </c>
      <c r="G160" s="164"/>
      <c r="H160" s="24" t="str">
        <f t="shared" si="16"/>
        <v>ежемесячно</v>
      </c>
      <c r="I160" s="165">
        <f t="shared" si="17"/>
        <v>6</v>
      </c>
      <c r="J160" s="165"/>
      <c r="M160" s="22" t="s">
        <v>70</v>
      </c>
      <c r="N160" s="1" t="str">
        <v>Мониторинг системы затопления (2 полугодие).</v>
      </c>
    </row>
    <row r="161" spans="1:14" ht="28.5" customHeight="1">
      <c r="A161" s="163" t="str">
        <f>IF(N161&gt;0,N161,0)</f>
        <v>Промышленная очистка кровли от снега (575 м2).</v>
      </c>
      <c r="B161" s="163"/>
      <c r="C161" s="163"/>
      <c r="D161" s="163"/>
      <c r="E161" s="163"/>
      <c r="F161" s="164">
        <f t="shared" si="15"/>
        <v>15525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70</v>
      </c>
      <c r="N161" s="1" t="str">
        <v>Промышленная очистка кровли от снега (575 м2).</v>
      </c>
    </row>
    <row r="162" spans="1:14" ht="28.5" customHeight="1">
      <c r="A162" s="163" t="str">
        <f t="shared" si="14"/>
        <v>Механизированная уборка и вывоз снега с придомовой территории.</v>
      </c>
      <c r="B162" s="163"/>
      <c r="C162" s="163"/>
      <c r="D162" s="163"/>
      <c r="E162" s="163"/>
      <c r="F162" s="164">
        <f t="shared" si="15"/>
        <v>16920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70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63" t="str">
        <f t="shared" si="14"/>
        <v>Замена светильников в кабине лифта (4 шт.).</v>
      </c>
      <c r="B163" s="163"/>
      <c r="C163" s="163"/>
      <c r="D163" s="163"/>
      <c r="E163" s="163"/>
      <c r="F163" s="164">
        <f t="shared" si="15"/>
        <v>1216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70</v>
      </c>
      <c r="N163" s="1" t="str">
        <v>Замена светильников в кабине лифта (4 шт.).</v>
      </c>
    </row>
    <row r="164" spans="1:14" ht="28.5" customHeight="1">
      <c r="A164" s="163" t="str">
        <f t="shared" ref="A164:A187" si="18">IF(N164&gt;0,N164,0)</f>
        <v>Генеральная уборка подъезда (март).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5000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70</v>
      </c>
      <c r="N164" s="1" t="str">
        <v>Генеральная уборка подъезда (март).</v>
      </c>
    </row>
    <row r="165" spans="1:14" ht="28.5" customHeight="1">
      <c r="A165" s="163" t="str">
        <f t="shared" si="18"/>
        <v>Приобретение сантехнических материалов в комнату уборщицы.</v>
      </c>
      <c r="B165" s="163"/>
      <c r="C165" s="163"/>
      <c r="D165" s="163"/>
      <c r="E165" s="163"/>
      <c r="F165" s="164">
        <f t="shared" si="19"/>
        <v>7157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70</v>
      </c>
      <c r="N165" s="1" t="str">
        <v>Приобретение сантехнических материалов в комнату уборщицы.</v>
      </c>
    </row>
    <row r="166" spans="1:14" ht="28.5" customHeight="1">
      <c r="A166" s="163" t="str">
        <f t="shared" si="18"/>
        <v>Благоустройство придомовой территории (приобретение рассады, покраска малых форм).</v>
      </c>
      <c r="B166" s="163"/>
      <c r="C166" s="163"/>
      <c r="D166" s="163"/>
      <c r="E166" s="163"/>
      <c r="F166" s="164">
        <f t="shared" si="19"/>
        <v>11510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70</v>
      </c>
      <c r="N166" s="1" t="str">
        <v>Благоустройство придомовой территории (приобретение рассады, покраска малых форм).</v>
      </c>
    </row>
    <row r="167" spans="1:14" ht="28.5" customHeight="1">
      <c r="A167" s="163" t="str">
        <f t="shared" si="18"/>
        <v>Профилактика шестеренчатого механизма AMV в ИТП.</v>
      </c>
      <c r="B167" s="163"/>
      <c r="C167" s="163"/>
      <c r="D167" s="163"/>
      <c r="E167" s="163"/>
      <c r="F167" s="164">
        <f t="shared" si="19"/>
        <v>1365</v>
      </c>
      <c r="G167" s="164"/>
      <c r="H167" s="29" t="str">
        <f t="shared" si="16"/>
        <v>разово</v>
      </c>
      <c r="I167" s="165">
        <f t="shared" si="20"/>
        <v>1</v>
      </c>
      <c r="J167" s="165"/>
      <c r="M167" s="22" t="s">
        <v>70</v>
      </c>
      <c r="N167" s="1" t="str">
        <v>Профилактика шестеренчатого механизма AMV в ИТП.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4">
        <f t="shared" si="19"/>
        <v>0</v>
      </c>
      <c r="G168" s="164"/>
      <c r="H168" s="29" t="e">
        <f t="shared" si="16"/>
        <v>#N/A</v>
      </c>
      <c r="I168" s="165" t="e">
        <f t="shared" si="20"/>
        <v>#N/A</v>
      </c>
      <c r="J168" s="165"/>
      <c r="M168" s="22" t="s">
        <v>70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4">
        <f t="shared" si="19"/>
        <v>0</v>
      </c>
      <c r="G169" s="164"/>
      <c r="H169" s="29" t="e">
        <f t="shared" si="16"/>
        <v>#N/A</v>
      </c>
      <c r="I169" s="165" t="e">
        <f t="shared" si="20"/>
        <v>#N/A</v>
      </c>
      <c r="J169" s="165"/>
      <c r="M169" s="22" t="s">
        <v>70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4">
        <f t="shared" si="19"/>
        <v>0</v>
      </c>
      <c r="G170" s="164"/>
      <c r="H170" s="29" t="e">
        <f t="shared" si="16"/>
        <v>#N/A</v>
      </c>
      <c r="I170" s="165" t="e">
        <f t="shared" si="20"/>
        <v>#N/A</v>
      </c>
      <c r="J170" s="165"/>
      <c r="M170" s="22" t="s">
        <v>70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4">
        <f t="shared" si="19"/>
        <v>0</v>
      </c>
      <c r="G171" s="164"/>
      <c r="H171" s="29" t="e">
        <f t="shared" si="16"/>
        <v>#N/A</v>
      </c>
      <c r="I171" s="165" t="e">
        <f t="shared" si="20"/>
        <v>#N/A</v>
      </c>
      <c r="J171" s="165"/>
      <c r="M171" s="22" t="s">
        <v>70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4">
        <f t="shared" si="19"/>
        <v>0</v>
      </c>
      <c r="G172" s="164"/>
      <c r="H172" s="29" t="e">
        <f t="shared" si="16"/>
        <v>#N/A</v>
      </c>
      <c r="I172" s="165" t="e">
        <f t="shared" si="20"/>
        <v>#N/A</v>
      </c>
      <c r="J172" s="165"/>
      <c r="M172" s="22" t="s">
        <v>70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4">
        <f t="shared" si="19"/>
        <v>0</v>
      </c>
      <c r="G173" s="164"/>
      <c r="H173" s="29" t="e">
        <f t="shared" si="16"/>
        <v>#N/A</v>
      </c>
      <c r="I173" s="165" t="e">
        <f t="shared" si="20"/>
        <v>#N/A</v>
      </c>
      <c r="J173" s="165"/>
      <c r="M173" s="22" t="s">
        <v>70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4">
        <f t="shared" si="19"/>
        <v>0</v>
      </c>
      <c r="G174" s="164"/>
      <c r="H174" s="29" t="e">
        <f t="shared" si="16"/>
        <v>#N/A</v>
      </c>
      <c r="I174" s="165" t="e">
        <f t="shared" si="20"/>
        <v>#N/A</v>
      </c>
      <c r="J174" s="165"/>
      <c r="M174" s="22" t="s">
        <v>70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70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70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70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70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70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70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70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70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70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70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70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70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70</v>
      </c>
      <c r="N187" s="1">
        <v>0</v>
      </c>
    </row>
    <row r="188" spans="1:14" ht="22.5" customHeight="1">
      <c r="A188" s="102" t="s">
        <v>173</v>
      </c>
    </row>
    <row r="189" spans="1:14" ht="22.5" customHeight="1">
      <c r="A189" s="102" t="s">
        <v>173</v>
      </c>
    </row>
    <row r="190" spans="1:14" ht="36.75" customHeight="1">
      <c r="A190" s="166" t="s">
        <v>188</v>
      </c>
      <c r="B190" s="166"/>
      <c r="C190" s="166"/>
      <c r="D190" s="166"/>
      <c r="E190" s="27">
        <f>SUM(F158:G187)</f>
        <v>70393</v>
      </c>
    </row>
    <row r="191" spans="1:14" ht="51.75" customHeight="1">
      <c r="A191" s="166" t="s">
        <v>187</v>
      </c>
      <c r="B191" s="166"/>
      <c r="C191" s="166"/>
      <c r="D191" s="166"/>
      <c r="E191" s="27">
        <f>E190+E154-E155</f>
        <v>-162876.80800000002</v>
      </c>
    </row>
    <row r="192" spans="1:14">
      <c r="A192" s="102" t="s">
        <v>173</v>
      </c>
    </row>
    <row r="193" spans="1:10" ht="62.25" customHeight="1">
      <c r="A193" s="191" t="s">
        <v>186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47">
        <f>ПТО!G12</f>
        <v>4000</v>
      </c>
      <c r="I194" s="48" t="s">
        <v>73</v>
      </c>
    </row>
    <row r="195" spans="1:10" ht="18.75" customHeight="1">
      <c r="A195" s="190" t="str">
        <f>ПТО!F13</f>
        <v xml:space="preserve">  -  техническое освидетельствование лифта</v>
      </c>
      <c r="B195" s="190"/>
      <c r="C195" s="190"/>
      <c r="D195" s="190"/>
      <c r="E195" s="190"/>
      <c r="F195" s="190"/>
      <c r="G195" s="190"/>
      <c r="H195" s="47">
        <f>ПТО!G13</f>
        <v>8100</v>
      </c>
      <c r="I195" s="48" t="s">
        <v>73</v>
      </c>
    </row>
    <row r="196" spans="1:10" ht="36" customHeight="1">
      <c r="A196" s="190" t="str">
        <f>ПТО!F14</f>
        <v xml:space="preserve">  -  механизированная уборка и вывоз снега с придомовой территории</v>
      </c>
      <c r="B196" s="190"/>
      <c r="C196" s="190"/>
      <c r="D196" s="190"/>
      <c r="E196" s="190"/>
      <c r="F196" s="190"/>
      <c r="G196" s="190"/>
      <c r="H196" s="47">
        <f>ПТО!G14</f>
        <v>25000</v>
      </c>
      <c r="I196" s="48" t="s">
        <v>73</v>
      </c>
    </row>
    <row r="197" spans="1:10" ht="18.75" customHeight="1">
      <c r="A197" s="190" t="str">
        <f>ПТО!F15</f>
        <v xml:space="preserve">  -  очистка кровли от снега</v>
      </c>
      <c r="B197" s="190"/>
      <c r="C197" s="190"/>
      <c r="D197" s="190"/>
      <c r="E197" s="190"/>
      <c r="F197" s="190"/>
      <c r="G197" s="190"/>
      <c r="H197" s="47">
        <f>ПТО!G15</f>
        <v>15600</v>
      </c>
      <c r="I197" s="48" t="s">
        <v>73</v>
      </c>
    </row>
    <row r="198" spans="1:10" ht="18.75" customHeight="1">
      <c r="A198" s="190" t="str">
        <f>ПТО!F16</f>
        <v xml:space="preserve">  -  мониторинг системы затопления</v>
      </c>
      <c r="B198" s="190"/>
      <c r="C198" s="190"/>
      <c r="D198" s="190"/>
      <c r="E198" s="190"/>
      <c r="F198" s="190"/>
      <c r="G198" s="190"/>
      <c r="H198" s="47">
        <f>ПТО!G16</f>
        <v>3600</v>
      </c>
      <c r="I198" s="50" t="s">
        <v>73</v>
      </c>
    </row>
    <row r="199" spans="1:10" ht="18.75" hidden="1" customHeight="1">
      <c r="A199" s="190">
        <f>ПТО!F17</f>
        <v>0</v>
      </c>
      <c r="B199" s="190"/>
      <c r="C199" s="190"/>
      <c r="D199" s="190"/>
      <c r="E199" s="190"/>
      <c r="F199" s="190"/>
      <c r="G199" s="190"/>
      <c r="H199" s="47">
        <f>ПТО!G17</f>
        <v>0</v>
      </c>
      <c r="I199" s="48" t="s">
        <v>73</v>
      </c>
    </row>
    <row r="200" spans="1:10" hidden="1">
      <c r="A200" s="190">
        <f>ПТО!F18</f>
        <v>0</v>
      </c>
      <c r="B200" s="190"/>
      <c r="C200" s="190"/>
      <c r="D200" s="190"/>
      <c r="E200" s="190"/>
      <c r="F200" s="190"/>
      <c r="G200" s="190"/>
      <c r="H200" s="47">
        <f>ПТО!G18</f>
        <v>0</v>
      </c>
      <c r="I200" s="48" t="s">
        <v>73</v>
      </c>
    </row>
    <row r="201" spans="1:10" hidden="1">
      <c r="A201" s="190">
        <f>ПТО!F19</f>
        <v>0</v>
      </c>
      <c r="B201" s="190"/>
      <c r="C201" s="190"/>
      <c r="D201" s="190"/>
      <c r="E201" s="190"/>
      <c r="F201" s="190"/>
      <c r="G201" s="190"/>
      <c r="H201" s="47">
        <f>ПТО!G19</f>
        <v>0</v>
      </c>
      <c r="I201" s="48" t="s">
        <v>73</v>
      </c>
    </row>
    <row r="202" spans="1:10" hidden="1">
      <c r="A202" s="190">
        <f>ПТО!F20</f>
        <v>0</v>
      </c>
      <c r="B202" s="190"/>
      <c r="C202" s="190"/>
      <c r="D202" s="190"/>
      <c r="E202" s="190"/>
      <c r="F202" s="190"/>
      <c r="G202" s="190"/>
      <c r="H202" s="47">
        <f>ПТО!G20</f>
        <v>0</v>
      </c>
      <c r="I202" s="48" t="s">
        <v>73</v>
      </c>
    </row>
    <row r="203" spans="1:10" hidden="1">
      <c r="A203" s="190">
        <f>ПТО!F21</f>
        <v>0</v>
      </c>
      <c r="B203" s="190"/>
      <c r="C203" s="190"/>
      <c r="D203" s="190"/>
      <c r="E203" s="190"/>
      <c r="F203" s="190"/>
      <c r="G203" s="190"/>
      <c r="H203" s="47">
        <f>ПТО!G21</f>
        <v>0</v>
      </c>
      <c r="I203" s="48" t="s">
        <v>73</v>
      </c>
    </row>
    <row r="204" spans="1:10" hidden="1">
      <c r="A204" s="190">
        <f>ПТО!F22</f>
        <v>0</v>
      </c>
      <c r="B204" s="190"/>
      <c r="C204" s="190"/>
      <c r="D204" s="190"/>
      <c r="E204" s="190"/>
      <c r="F204" s="190"/>
      <c r="G204" s="190"/>
      <c r="H204" s="47">
        <f>ПТО!G22</f>
        <v>0</v>
      </c>
      <c r="I204" s="48" t="s">
        <v>73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47">
        <f>ПТО!G23</f>
        <v>0</v>
      </c>
      <c r="I205" s="48" t="s">
        <v>73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47">
        <f>ПТО!G24</f>
        <v>0</v>
      </c>
      <c r="I206" s="48" t="s">
        <v>73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47">
        <f>ПТО!G25</f>
        <v>0</v>
      </c>
      <c r="I207" s="48" t="s">
        <v>73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47">
        <f>ПТО!G26</f>
        <v>0</v>
      </c>
      <c r="I208" s="48" t="s">
        <v>73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47">
        <f>ПТО!G27</f>
        <v>0</v>
      </c>
      <c r="I209" s="48" t="s">
        <v>73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47">
        <f>ПТО!G28</f>
        <v>0</v>
      </c>
      <c r="I210" s="48" t="s">
        <v>73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47">
        <f>ПТО!G29</f>
        <v>0</v>
      </c>
      <c r="I211" s="48" t="s">
        <v>73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47">
        <f>ПТО!G30</f>
        <v>0</v>
      </c>
      <c r="I212" s="48" t="s">
        <v>73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56300</v>
      </c>
      <c r="I214" s="54" t="s">
        <v>76</v>
      </c>
    </row>
  </sheetData>
  <sheetProtection algorithmName="SHA-512" hashValue="6O1Dd7cO6GEGUCU+Bk2eQMKvAUSqFbFaKVDepatU8rkXxJeV6mE/z4WerSq1wq2BYqeS9CLHcH9pzLB+A9WlMg==" saltValue="5qjb2PlEfKnWm2eS2k5qe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3" sqref="D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4" t="s">
        <v>18</v>
      </c>
      <c r="B1" s="124" t="s">
        <v>55</v>
      </c>
      <c r="C1" s="124" t="s">
        <v>20</v>
      </c>
      <c r="D1" s="124" t="s">
        <v>19</v>
      </c>
      <c r="E1" s="125"/>
      <c r="F1" s="98" t="s">
        <v>190</v>
      </c>
      <c r="G1" s="99">
        <f>-106450.16</f>
        <v>-106450.16</v>
      </c>
    </row>
    <row r="2" spans="1:12" ht="18.75" customHeight="1">
      <c r="A2" s="126" t="s">
        <v>71</v>
      </c>
      <c r="B2" s="127" t="s">
        <v>177</v>
      </c>
      <c r="C2" s="127">
        <v>1</v>
      </c>
      <c r="D2" s="128">
        <v>8100</v>
      </c>
      <c r="E2" s="129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0" t="s">
        <v>209</v>
      </c>
      <c r="B3" s="130" t="s">
        <v>203</v>
      </c>
      <c r="C3" s="131">
        <v>6</v>
      </c>
      <c r="D3" s="132">
        <v>1800</v>
      </c>
      <c r="E3" s="133" t="s">
        <v>202</v>
      </c>
      <c r="F3" s="30"/>
      <c r="G3" s="30"/>
      <c r="L3" s="33" t="str">
        <f t="shared" si="0"/>
        <v>ТР</v>
      </c>
    </row>
    <row r="4" spans="1:12" ht="18.75" customHeight="1">
      <c r="A4" s="160" t="s">
        <v>210</v>
      </c>
      <c r="B4" s="130" t="s">
        <v>203</v>
      </c>
      <c r="C4" s="131">
        <v>6</v>
      </c>
      <c r="D4" s="132">
        <v>1800</v>
      </c>
      <c r="E4" s="134" t="s">
        <v>206</v>
      </c>
      <c r="F4" s="30"/>
      <c r="G4" s="30"/>
      <c r="L4" s="33" t="str">
        <f t="shared" si="0"/>
        <v>ТР</v>
      </c>
    </row>
    <row r="5" spans="1:12" ht="18.75" customHeight="1">
      <c r="A5" s="135" t="s">
        <v>184</v>
      </c>
      <c r="B5" s="136" t="s">
        <v>181</v>
      </c>
      <c r="C5" s="131">
        <v>1</v>
      </c>
      <c r="D5" s="132">
        <v>15525</v>
      </c>
      <c r="E5" s="137" t="s">
        <v>191</v>
      </c>
      <c r="F5" s="42"/>
      <c r="G5" s="42"/>
      <c r="K5" s="44"/>
      <c r="L5" s="33" t="str">
        <f t="shared" si="0"/>
        <v>ТР</v>
      </c>
    </row>
    <row r="6" spans="1:12" ht="18.75" customHeight="1">
      <c r="A6" s="138" t="s">
        <v>182</v>
      </c>
      <c r="B6" s="139" t="s">
        <v>181</v>
      </c>
      <c r="C6" s="140">
        <v>1</v>
      </c>
      <c r="D6" s="141">
        <v>16920</v>
      </c>
      <c r="E6" s="129" t="s">
        <v>192</v>
      </c>
      <c r="F6" s="42"/>
      <c r="G6" s="42"/>
      <c r="K6" s="44"/>
      <c r="L6" s="33" t="str">
        <f t="shared" si="0"/>
        <v>ТР</v>
      </c>
    </row>
    <row r="7" spans="1:12" ht="18.75" customHeight="1">
      <c r="A7" s="142" t="s">
        <v>193</v>
      </c>
      <c r="B7" s="143" t="s">
        <v>181</v>
      </c>
      <c r="C7" s="144">
        <v>1</v>
      </c>
      <c r="D7" s="141">
        <v>1216</v>
      </c>
      <c r="E7" s="145" t="s">
        <v>195</v>
      </c>
      <c r="F7" s="43"/>
      <c r="G7" s="43"/>
      <c r="K7" s="44"/>
      <c r="L7" s="33" t="str">
        <f t="shared" si="0"/>
        <v>ТР</v>
      </c>
    </row>
    <row r="8" spans="1:12" ht="18.75" customHeight="1">
      <c r="A8" s="146" t="s">
        <v>197</v>
      </c>
      <c r="B8" s="147" t="s">
        <v>181</v>
      </c>
      <c r="C8" s="140">
        <v>1</v>
      </c>
      <c r="D8" s="141">
        <v>5000</v>
      </c>
      <c r="E8" s="129" t="s">
        <v>198</v>
      </c>
      <c r="F8" s="43"/>
      <c r="G8" s="43"/>
      <c r="K8" s="41"/>
      <c r="L8" s="33" t="str">
        <f t="shared" si="0"/>
        <v>ТР</v>
      </c>
    </row>
    <row r="9" spans="1:12">
      <c r="A9" s="148" t="s">
        <v>194</v>
      </c>
      <c r="B9" s="147" t="s">
        <v>181</v>
      </c>
      <c r="C9" s="140">
        <v>1</v>
      </c>
      <c r="D9" s="141">
        <v>7157</v>
      </c>
      <c r="E9" s="129" t="s">
        <v>196</v>
      </c>
      <c r="F9" s="42"/>
      <c r="G9" s="42"/>
      <c r="K9" s="41"/>
      <c r="L9" s="33" t="str">
        <f t="shared" si="0"/>
        <v>ТР</v>
      </c>
    </row>
    <row r="10" spans="1:12">
      <c r="A10" s="149" t="s">
        <v>204</v>
      </c>
      <c r="B10" s="150" t="s">
        <v>181</v>
      </c>
      <c r="C10" s="144">
        <v>1</v>
      </c>
      <c r="D10" s="141">
        <v>11510</v>
      </c>
      <c r="E10" s="129" t="s">
        <v>201</v>
      </c>
      <c r="L10" s="33" t="str">
        <f t="shared" si="0"/>
        <v>ТР</v>
      </c>
    </row>
    <row r="11" spans="1:12" ht="94.5">
      <c r="A11" s="151" t="s">
        <v>199</v>
      </c>
      <c r="B11" s="152" t="s">
        <v>181</v>
      </c>
      <c r="C11" s="153">
        <v>1</v>
      </c>
      <c r="D11" s="154">
        <v>1365</v>
      </c>
      <c r="E11" s="151" t="s">
        <v>200</v>
      </c>
      <c r="F11" s="109" t="s">
        <v>186</v>
      </c>
      <c r="G11" s="109"/>
      <c r="L11" s="33" t="str">
        <f t="shared" si="0"/>
        <v>ТР</v>
      </c>
    </row>
    <row r="12" spans="1:12" ht="31.5">
      <c r="A12" s="119"/>
      <c r="B12" s="120"/>
      <c r="C12" s="121"/>
      <c r="D12" s="122"/>
      <c r="E12" s="123"/>
      <c r="F12" s="110" t="s">
        <v>72</v>
      </c>
      <c r="G12" s="111">
        <v>4000</v>
      </c>
      <c r="L12" s="33">
        <f t="shared" si="0"/>
        <v>0</v>
      </c>
    </row>
    <row r="13" spans="1:12" ht="31.5">
      <c r="A13" s="30"/>
      <c r="F13" s="110" t="s">
        <v>74</v>
      </c>
      <c r="G13" s="111">
        <v>8100</v>
      </c>
      <c r="L13" s="33">
        <f t="shared" si="0"/>
        <v>0</v>
      </c>
    </row>
    <row r="14" spans="1:12" ht="31.5">
      <c r="A14" s="30"/>
      <c r="F14" s="110" t="s">
        <v>183</v>
      </c>
      <c r="G14" s="118">
        <v>25000</v>
      </c>
      <c r="L14" s="33">
        <f t="shared" si="0"/>
        <v>0</v>
      </c>
    </row>
    <row r="15" spans="1:12" ht="15.75">
      <c r="A15" s="30"/>
      <c r="F15" s="110" t="s">
        <v>185</v>
      </c>
      <c r="G15" s="118">
        <v>15600</v>
      </c>
      <c r="L15" s="33">
        <f t="shared" si="0"/>
        <v>0</v>
      </c>
    </row>
    <row r="16" spans="1:12" ht="15.75">
      <c r="A16" s="30"/>
      <c r="F16" s="161" t="s">
        <v>208</v>
      </c>
      <c r="G16" s="162">
        <v>3600</v>
      </c>
      <c r="L16" s="33">
        <f t="shared" si="0"/>
        <v>0</v>
      </c>
    </row>
    <row r="17" spans="1:12" ht="15.75">
      <c r="A17" s="30"/>
      <c r="F17" s="110"/>
      <c r="G17" s="11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5" t="s">
        <v>21</v>
      </c>
      <c r="B39" s="156">
        <f>F39*G39*'Абонентский отдел'!$F$1</f>
        <v>71168.831999999995</v>
      </c>
      <c r="C39" s="156" t="s">
        <v>66</v>
      </c>
      <c r="D39" s="157">
        <v>12</v>
      </c>
      <c r="E39" s="34"/>
      <c r="F39" s="159">
        <v>2.66</v>
      </c>
      <c r="G39" s="159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71168.831999999995</v>
      </c>
      <c r="O39" s="39" t="str">
        <f>C39</f>
        <v>Ежемесячно</v>
      </c>
      <c r="P39">
        <f>D39</f>
        <v>12</v>
      </c>
    </row>
    <row r="40" spans="1:16" ht="31.5" customHeight="1">
      <c r="A40" s="155" t="s">
        <v>174</v>
      </c>
      <c r="B40" s="156">
        <f>F40*G40*'Абонентский отдел'!$F$1</f>
        <v>68225.759999999995</v>
      </c>
      <c r="C40" s="156" t="s">
        <v>66</v>
      </c>
      <c r="D40" s="157">
        <v>12</v>
      </c>
      <c r="E40" s="34"/>
      <c r="F40" s="159">
        <v>2.5499999999999998</v>
      </c>
      <c r="G40" s="159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68225.759999999995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5" t="s">
        <v>207</v>
      </c>
      <c r="B41" s="156">
        <f>F41*G41*'Абонентский отдел'!$F$1</f>
        <v>43343.423999999999</v>
      </c>
      <c r="C41" s="156" t="s">
        <v>67</v>
      </c>
      <c r="D41" s="157">
        <v>12</v>
      </c>
      <c r="E41" s="34"/>
      <c r="F41" s="159">
        <v>1.62</v>
      </c>
      <c r="G41" s="159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43343.423999999999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5" t="s">
        <v>22</v>
      </c>
      <c r="B42" s="156">
        <f>F42*G42*'Абонентский отдел'!$F$1</f>
        <v>32106.239999999994</v>
      </c>
      <c r="C42" s="156" t="s">
        <v>66</v>
      </c>
      <c r="D42" s="157">
        <v>12</v>
      </c>
      <c r="E42" s="34"/>
      <c r="F42" s="129">
        <v>1.2</v>
      </c>
      <c r="G42" s="159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32106.239999999994</v>
      </c>
      <c r="O42" s="39" t="str">
        <f t="shared" si="5"/>
        <v>Ежемесячно</v>
      </c>
      <c r="P42">
        <f t="shared" si="6"/>
        <v>12</v>
      </c>
    </row>
    <row r="43" spans="1:16" ht="15.75">
      <c r="A43" s="155"/>
      <c r="B43" s="156"/>
      <c r="C43" s="156"/>
      <c r="D43" s="157"/>
      <c r="E43" s="34"/>
      <c r="F43" s="159"/>
      <c r="G43" s="159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5" t="s">
        <v>23</v>
      </c>
      <c r="B44" s="156">
        <f>F44*G44*'Абонентский отдел'!$F$1</f>
        <v>10969.632</v>
      </c>
      <c r="C44" s="156" t="s">
        <v>68</v>
      </c>
      <c r="D44" s="157">
        <v>12</v>
      </c>
      <c r="E44" s="34"/>
      <c r="F44" s="129">
        <v>0.41</v>
      </c>
      <c r="G44" s="159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10969.632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5" t="s">
        <v>24</v>
      </c>
      <c r="B45" s="156">
        <f>F45*G45*'Абонентский отдел'!$F$1</f>
        <v>48426.911999999997</v>
      </c>
      <c r="C45" s="156" t="s">
        <v>67</v>
      </c>
      <c r="D45" s="157">
        <v>12</v>
      </c>
      <c r="E45" s="34"/>
      <c r="F45" s="129">
        <v>1.81</v>
      </c>
      <c r="G45" s="159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48426.911999999997</v>
      </c>
      <c r="O45" s="39" t="str">
        <f t="shared" si="5"/>
        <v>В соответствии с графиком</v>
      </c>
      <c r="P45">
        <f t="shared" si="6"/>
        <v>12</v>
      </c>
    </row>
    <row r="46" spans="1:16" ht="51">
      <c r="A46" s="155" t="s">
        <v>176</v>
      </c>
      <c r="B46" s="156">
        <f>F46*G46*'Абонентский отдел'!$F$1</f>
        <v>106753.24800000001</v>
      </c>
      <c r="C46" s="156" t="s">
        <v>66</v>
      </c>
      <c r="D46" s="158">
        <v>12</v>
      </c>
      <c r="F46" s="129">
        <v>3.99</v>
      </c>
      <c r="G46" s="159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39">
        <f t="shared" si="4"/>
        <v>106753.24800000001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5"/>
      <c r="C47" s="116"/>
      <c r="D47" s="46"/>
      <c r="E47" s="115"/>
      <c r="F47" s="115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CXtvVCPB0kWbRQdquELYoUEeHVw+37CpNr58KGSNTfIycXzeRifdhIKfYcX3h44otMt6XicTPQUopGlGPU2WzA==" saltValue="n+Zn/F2RJ1Vqj3x1p8VKv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178</v>
      </c>
      <c r="F1" s="58">
        <v>2229.6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338947.22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502789.19799999997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375969.55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F1*4.74*12</f>
        <v>126819.648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512104.66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512104.66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512104.66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329631.75799999997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94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94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94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94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93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93"/>
      <c r="N26" s="61"/>
    </row>
    <row r="27" spans="1:15" ht="18.75" customHeight="1">
      <c r="A27" s="68" t="s">
        <v>104</v>
      </c>
      <c r="B27" s="73" t="s">
        <v>3</v>
      </c>
      <c r="C27" s="84">
        <v>233757.3</v>
      </c>
      <c r="D27" s="79" t="s">
        <v>58</v>
      </c>
      <c r="E27" s="62"/>
      <c r="F27" s="62"/>
      <c r="G27" s="62"/>
      <c r="H27" s="62"/>
      <c r="I27" s="62"/>
      <c r="J27" s="62"/>
      <c r="M27" s="193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93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93"/>
      <c r="N29" s="61"/>
    </row>
    <row r="30" spans="1:15" ht="18.75" customHeight="1">
      <c r="A30" s="68" t="s">
        <v>107</v>
      </c>
      <c r="B30" s="73" t="s">
        <v>17</v>
      </c>
      <c r="C30" s="84">
        <f>C27+E37+E45+E53+E61-C39-C47-C55-C63</f>
        <v>161612.75000000012</v>
      </c>
      <c r="D30" s="79" t="s">
        <v>64</v>
      </c>
      <c r="E30" s="62"/>
      <c r="F30" s="62"/>
      <c r="G30" s="62"/>
      <c r="H30" s="62"/>
      <c r="I30" s="62"/>
      <c r="J30" s="62"/>
      <c r="M30" s="193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93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93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93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93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 t="str">
        <f>IF(E37&gt;0,"Предоставляется",0)</f>
        <v>Предоставляется</v>
      </c>
      <c r="D37" s="94" t="s">
        <v>50</v>
      </c>
      <c r="E37" s="93">
        <v>185978.97</v>
      </c>
      <c r="F37" s="92" t="s">
        <v>166</v>
      </c>
      <c r="G37" s="64"/>
      <c r="H37" s="64"/>
      <c r="I37" s="64"/>
      <c r="L37" s="61"/>
      <c r="M37" s="192"/>
      <c r="N37" s="61"/>
      <c r="O37" s="61"/>
    </row>
    <row r="38" spans="1:15" ht="18.75" customHeight="1">
      <c r="A38" s="68" t="s">
        <v>112</v>
      </c>
      <c r="B38" s="76" t="s">
        <v>35</v>
      </c>
      <c r="C38" s="88">
        <f>E37/1.5</f>
        <v>123985.98</v>
      </c>
      <c r="D38" s="92" t="s">
        <v>164</v>
      </c>
      <c r="E38" s="66"/>
      <c r="G38" s="65"/>
      <c r="H38" s="65"/>
      <c r="L38" s="61"/>
      <c r="M38" s="192"/>
      <c r="N38" s="61"/>
      <c r="O38" s="61"/>
    </row>
    <row r="39" spans="1:15" ht="18.75" customHeight="1">
      <c r="A39" s="68" t="s">
        <v>113</v>
      </c>
      <c r="B39" s="76" t="s">
        <v>36</v>
      </c>
      <c r="C39" s="89">
        <v>252198.49</v>
      </c>
      <c r="D39" s="92" t="s">
        <v>165</v>
      </c>
      <c r="E39" s="66"/>
      <c r="G39" s="65"/>
      <c r="H39" s="65"/>
      <c r="L39" s="61"/>
      <c r="M39" s="192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117"/>
      <c r="G40" s="65"/>
      <c r="H40" s="65"/>
      <c r="L40" s="61"/>
      <c r="M40" s="192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185978.97</v>
      </c>
      <c r="D41" s="78" t="s">
        <v>57</v>
      </c>
      <c r="E41" s="117"/>
      <c r="G41" s="65"/>
      <c r="H41" s="65"/>
      <c r="L41" s="61"/>
      <c r="M41" s="192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185978.97</v>
      </c>
      <c r="D42" s="78" t="s">
        <v>57</v>
      </c>
      <c r="E42" s="117"/>
      <c r="G42" s="65"/>
      <c r="H42" s="65"/>
      <c r="L42" s="61"/>
      <c r="M42" s="192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92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92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135424.51999999999</v>
      </c>
      <c r="F45" s="92" t="s">
        <v>166</v>
      </c>
      <c r="G45" s="64"/>
      <c r="H45" s="64"/>
      <c r="L45" s="61"/>
      <c r="M45" s="192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f>E45/15.95</f>
        <v>8490.565517241379</v>
      </c>
      <c r="D46" s="92" t="s">
        <v>167</v>
      </c>
      <c r="E46" s="66"/>
      <c r="G46" s="65"/>
      <c r="H46" s="65"/>
      <c r="L46" s="61"/>
      <c r="M46" s="192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136178.82</v>
      </c>
      <c r="D47" s="92" t="s">
        <v>165</v>
      </c>
      <c r="E47" s="66"/>
      <c r="G47" s="65"/>
      <c r="H47" s="65"/>
      <c r="L47" s="61"/>
      <c r="M47" s="192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92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135424.51999999999</v>
      </c>
      <c r="D49" s="78" t="s">
        <v>57</v>
      </c>
      <c r="E49" s="66"/>
      <c r="G49" s="65"/>
      <c r="H49" s="65"/>
      <c r="L49" s="61"/>
      <c r="M49" s="192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135424.51999999999</v>
      </c>
      <c r="D50" s="78" t="s">
        <v>57</v>
      </c>
      <c r="E50" s="66"/>
      <c r="G50" s="65"/>
      <c r="H50" s="65"/>
      <c r="L50" s="61"/>
      <c r="M50" s="192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92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92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137567.91</v>
      </c>
      <c r="F53" s="92" t="s">
        <v>166</v>
      </c>
      <c r="G53" s="64"/>
      <c r="H53" s="64"/>
      <c r="L53" s="61"/>
      <c r="M53" s="192"/>
      <c r="N53" s="61"/>
      <c r="O53" s="61"/>
    </row>
    <row r="54" spans="1:15" ht="18.75" customHeight="1">
      <c r="A54" s="71" t="s">
        <v>129</v>
      </c>
      <c r="B54" s="73" t="s">
        <v>35</v>
      </c>
      <c r="C54" s="96">
        <f>E53/19.39</f>
        <v>7094.7864878803503</v>
      </c>
      <c r="D54" s="92" t="s">
        <v>167</v>
      </c>
      <c r="E54" s="67"/>
      <c r="F54" s="87"/>
      <c r="G54" s="62"/>
      <c r="H54" s="62"/>
      <c r="L54" s="61"/>
      <c r="M54" s="192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142103.5</v>
      </c>
      <c r="D55" s="92" t="s">
        <v>165</v>
      </c>
      <c r="E55" s="67"/>
      <c r="G55" s="62"/>
      <c r="H55" s="62"/>
      <c r="L55" s="61"/>
      <c r="M55" s="192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92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137567.91</v>
      </c>
      <c r="D57" s="78" t="s">
        <v>57</v>
      </c>
      <c r="E57" s="67"/>
      <c r="G57" s="62"/>
      <c r="H57" s="62"/>
      <c r="L57" s="61"/>
      <c r="M57" s="192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137567.91</v>
      </c>
      <c r="D58" s="78" t="s">
        <v>57</v>
      </c>
      <c r="E58" s="67"/>
      <c r="G58" s="62"/>
      <c r="H58" s="62"/>
      <c r="L58" s="61"/>
      <c r="M58" s="192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92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92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102895.43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6">
        <f>E61/591.84</f>
        <v>173.85683630711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103530.57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102895.43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102895.43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6">
        <v>0</v>
      </c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>
        <v>0</v>
      </c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8" sqref="B3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>
        <v>1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2025-03-12T00:38:23Z</dcterms:modified>
</cp:coreProperties>
</file>