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B46" i="2" l="1"/>
  <c r="B45" i="2"/>
  <c r="B44" i="2"/>
  <c r="B42" i="2"/>
  <c r="B41" i="2"/>
  <c r="B40" i="2"/>
  <c r="F39" i="2"/>
  <c r="B39" i="2" s="1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1" i="1" l="1"/>
  <c r="A114" i="1"/>
  <c r="A110" i="1"/>
  <c r="A115" i="1"/>
  <c r="A119" i="1"/>
  <c r="A123" i="1"/>
  <c r="A118" i="1"/>
  <c r="D110" i="1"/>
  <c r="A112" i="1"/>
  <c r="A116" i="1"/>
  <c r="F110" i="1"/>
  <c r="A113" i="1"/>
  <c r="D118" i="1"/>
  <c r="A120" i="1"/>
  <c r="A124" i="1"/>
  <c r="F118" i="1"/>
  <c r="A121" i="1"/>
  <c r="A125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4" i="1" l="1"/>
  <c r="F183" i="1"/>
  <c r="H175" i="1"/>
  <c r="F186" i="1"/>
  <c r="H183" i="1"/>
  <c r="H177" i="1"/>
  <c r="F177" i="1"/>
  <c r="F175" i="1"/>
  <c r="F171" i="1"/>
  <c r="H171" i="1"/>
  <c r="F168" i="1"/>
  <c r="H168" i="1"/>
  <c r="F167" i="1"/>
  <c r="H167" i="1"/>
  <c r="H166" i="1"/>
  <c r="F166" i="1"/>
  <c r="F165" i="1"/>
  <c r="H165" i="1"/>
  <c r="H169" i="1"/>
  <c r="H180" i="1"/>
  <c r="F173" i="1"/>
  <c r="F179" i="1"/>
  <c r="F181" i="1"/>
  <c r="H164" i="1"/>
  <c r="F187" i="1"/>
  <c r="F164" i="1"/>
  <c r="H172" i="1"/>
  <c r="F172" i="1"/>
  <c r="F169" i="1"/>
  <c r="F180" i="1"/>
  <c r="F176" i="1"/>
  <c r="H173" i="1"/>
  <c r="H176" i="1"/>
  <c r="F178" i="1"/>
  <c r="H178" i="1"/>
  <c r="H170" i="1"/>
  <c r="F182" i="1"/>
  <c r="H179" i="1"/>
  <c r="H185" i="1"/>
  <c r="H181" i="1"/>
  <c r="F185" i="1"/>
  <c r="F170" i="1"/>
  <c r="F184" i="1"/>
  <c r="H174" i="1"/>
  <c r="H187" i="1"/>
  <c r="H182" i="1"/>
  <c r="F174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<sst xmlns="http://schemas.openxmlformats.org/spreadsheetml/2006/main" count="549" uniqueCount="201">
  <si>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</si>
  <si>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</si>
  <si>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</si>
  <si>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</si>
  <si>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</si>
  <si>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</si>
  <si>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</si>
  <si>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</si>
  <si>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</si>
  <si>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</si>
  <si>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</si>
  <si>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</si>
  <si>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</si>
  <si>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</si>
  <si>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</si>
  <si>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</si>
  <si>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</si>
  <si>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</si>
  <si>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</si>
  <si>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</si>
  <si>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</si>
  <si>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</si>
  <si>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</si>
  <si>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</si>
  <si>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</si>
  <si>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</si>
  <si>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</si>
  <si>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</si>
  <si>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</si>
  <si>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</si>
  <si>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</si>
  <si>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</si>
  <si>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</si>
  <si>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</si>
  <si>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</si>
  <si>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</si>
  <si>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</si>
  <si>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</si>
  <si>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</si>
  <si>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</si>
  <si>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</si>
  <si>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</si>
  <si>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</si>
  <si>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</si>
  <si>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</si>
  <si>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</si>
  <si>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</si>
  <si>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</si>
  <si>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</si>
  <si>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</si>
  <si>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</si>
  <si>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</si>
  <si>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</si>
  <si>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</si>
  <si>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</si>
  <si>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</si>
  <si>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</si>
  <si>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</si>
  <si>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</si>
  <si>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</si>
  <si>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</si>
  <si>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</si>
  <si>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</si>
  <si>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</si>
  <si>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</si>
  <si>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</si>
  <si>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</si>
  <si>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</si>
  <si>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</si>
  <si>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</si>
  <si>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</si>
  <si>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</si>
  <si>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</si>
  <si>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</si>
  <si>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</si>
  <si>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</si>
  <si>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</si>
  <si>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</si>
  <si>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</si>
  <si>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</si>
  <si>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</si>
  <si>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</si>
  <si>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</si>
  <si>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</si>
  <si>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</si>
  <si>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</si>
  <si>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</si>
  <si>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</si>
  <si>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</si>
  <si>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</si>
  <si>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</si>
  <si>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</si>
  <si>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</si>
  <si>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</si>
  <si>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</si>
  <si>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</si>
  <si>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</si>
  <si>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</si>
  <si>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</si>
  <si>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</si>
  <si>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</si>
  <si>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</si>
  <si>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</si>
  <si>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</si>
  <si>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</si>
  <si>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</si>
  <si>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</si>
  <si>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</si>
  <si>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</si>
  <si>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</si>
  <si>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</si>
  <si>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</si>
  <si>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</si>
  <si>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</si>
  <si>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</si>
  <si>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</si>
  <si>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</si>
  <si>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</si>
  <si>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</si>
  <si>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</si>
  <si>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</si>
  <si>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</si>
  <si>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</si>
  <si>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</si>
  <si>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</si>
  <si>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</si>
  <si>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</si>
  <si>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</si>
  <si>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</si>
  <si>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</si>
  <si>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</si>
  <si>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</si>
  <si>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</si>
  <si>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</si>
  <si>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</si>
  <si>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</si>
  <si>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</si>
  <si>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</si>
  <si>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</si>
  <si>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</si>
  <si>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</si>
  <si>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</si>
  <si>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</si>
  <si>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</si>
  <si>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</si>
  <si>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</si>
  <si>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</si>
  <si>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</si>
  <si>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</si>
  <si>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</si>
  <si>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</si>
  <si>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</si>
  <si>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</si>
  <si>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</si>
  <si>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</si>
  <si>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</si>
  <si>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</si>
  <si>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</si>
  <si>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</si>
  <si>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</si>
  <si>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</si>
  <si>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</si>
  <si>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</si>
  <si>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</si>
  <si>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</si>
  <si>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</si>
  <si>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</si>
  <si>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</si>
  <si>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</si>
  <si>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</si>
  <si>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</si>
  <si>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</si>
  <si>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</si>
  <si>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</si>
  <si>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10</t>
  </si>
  <si>
    <t>Отчет об исполнении договора управления многоквартирного дома 
Профсоюзная, 10 в части текущего ремонта</t>
  </si>
  <si>
    <t>Работы (услуги) по управлению многоквартирным домом</t>
  </si>
  <si>
    <t>Техническое обслуживание охранной сигнализации.</t>
  </si>
  <si>
    <t>Техническое освидетельствование лифтов.</t>
  </si>
  <si>
    <t>ежемесячно</t>
  </si>
  <si>
    <t>ежегодно</t>
  </si>
  <si>
    <t>разово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</si>
  <si>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</si>
  <si>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</si>
  <si>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</si>
  <si>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 xml:space="preserve">  -  ремонт подъезда (со стороны незадымляемой лестницы)</t>
  </si>
  <si>
    <t xml:space="preserve">  -  благоустройство придомовой территории</t>
  </si>
  <si>
    <t>Механизированная уборка и вывоз снега с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</si>
  <si>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</si>
  <si>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</si>
  <si>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</si>
  <si>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</si>
  <si>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</si>
  <si>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Замена светильника в лифтовом холле (2 этаж).</t>
  </si>
  <si>
    <t>Пуско-наладочные работы на приборе учета тепловой энергии.</t>
  </si>
  <si>
    <t xml:space="preserve">Работы по содержанию земельного участка </t>
  </si>
  <si>
    <t>АВР 1/24 от 21.03.2024, счет №35 от 02.03.2024</t>
  </si>
  <si>
    <t>АВР 3/24 от 30.12.2024, счет №666 от 10.07.2024</t>
  </si>
  <si>
    <t>АВР 4/24 от 30.12.2024</t>
  </si>
  <si>
    <t>АВР 5/24 от 30.12.2024</t>
  </si>
  <si>
    <t>АВР 2/24 от 30.08.2024, Решение, счет №296 от 24.05.2024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</si>
</sst>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4" fillId="0" borderId="0"/>
    <xf numFmtId="0" fontId="13" fillId="0" borderId="0"/>
    <xf numFmtId="0" fontId="9" fillId="0" borderId="0"/>
    <xf numFmtId="0" fontId="8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0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4" fontId="30" fillId="0" borderId="0" xfId="5" applyNumberFormat="1" applyFont="1" applyFill="1" applyBorder="1" applyAlignment="1"/>
    <xf numFmtId="0" fontId="30" fillId="0" borderId="0" xfId="5" applyFont="1" applyFill="1" applyBorder="1" applyAlignment="1">
      <alignment horizontal="center"/>
    </xf>
    <xf numFmtId="0" fontId="0" fillId="0" borderId="0" xfId="0" applyFill="1" applyBorder="1"/>
    <xf numFmtId="0" fontId="15" fillId="0" borderId="0" xfId="2" applyFont="1" applyFill="1" applyBorder="1" applyAlignment="1"/>
    <xf numFmtId="0" fontId="15" fillId="0" borderId="0" xfId="5" applyFont="1" applyFill="1" applyBorder="1"/>
    <xf numFmtId="2" fontId="23" fillId="0" borderId="0" xfId="0" applyNumberFormat="1" applyFont="1" applyFill="1" applyBorder="1" applyAlignment="1">
      <alignment wrapText="1"/>
    </xf>
    <xf numFmtId="0" fontId="17" fillId="0" borderId="0" xfId="4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1" fontId="16" fillId="0" borderId="0" xfId="5" applyNumberFormat="1" applyFill="1" applyBorder="1" applyAlignment="1">
      <alignment horizontal="center"/>
    </xf>
    <xf numFmtId="0" fontId="13" fillId="0" borderId="0" xfId="2" applyFont="1" applyFill="1" applyBorder="1" applyAlignment="1"/>
    <xf numFmtId="0" fontId="13" fillId="0" borderId="0" xfId="7" applyFont="1" applyFill="1" applyBorder="1" applyAlignment="1">
      <alignment horizontal="center"/>
    </xf>
    <xf numFmtId="4" fontId="13" fillId="0" borderId="0" xfId="7" applyNumberFormat="1" applyFill="1" applyBorder="1" applyAlignment="1"/>
    <xf numFmtId="0" fontId="11" fillId="0" borderId="0" xfId="7" applyFont="1" applyFill="1" applyBorder="1"/>
    <xf numFmtId="0" fontId="10" fillId="0" borderId="0" xfId="2" applyFont="1" applyFill="1" applyBorder="1" applyAlignment="1"/>
    <xf numFmtId="0" fontId="10" fillId="0" borderId="0" xfId="4" applyFont="1" applyFill="1" applyBorder="1" applyAlignment="1">
      <alignment horizontal="center"/>
    </xf>
    <xf numFmtId="0" fontId="10" fillId="0" borderId="0" xfId="7" applyFont="1" applyFill="1" applyBorder="1"/>
    <xf numFmtId="4" fontId="0" fillId="0" borderId="0" xfId="0" applyNumberFormat="1" applyBorder="1" applyAlignment="1">
      <alignment horizontal="center"/>
    </xf>
    <xf numFmtId="4" fontId="32" fillId="3" borderId="0" xfId="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16" fillId="0" borderId="0" xfId="5" applyNumberFormat="1" applyFill="1" applyBorder="1" applyAlignment="1"/>
    <xf numFmtId="0" fontId="6" fillId="0" borderId="0" xfId="2" applyFont="1" applyFill="1" applyBorder="1" applyAlignment="1"/>
    <xf numFmtId="0" fontId="7" fillId="0" borderId="0" xfId="5" applyFont="1" applyFill="1" applyBorder="1" applyAlignment="1">
      <alignment horizontal="center"/>
    </xf>
    <xf numFmtId="0" fontId="6" fillId="0" borderId="0" xfId="5" applyFont="1" applyFill="1" applyBorder="1"/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0" fontId="7" fillId="0" borderId="0" xfId="2" applyFont="1" applyFill="1" applyBorder="1" applyAlignment="1"/>
    <xf numFmtId="0" fontId="5" fillId="0" borderId="0" xfId="5" applyFont="1" applyFill="1" applyBorder="1"/>
    <xf numFmtId="0" fontId="33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vertical="center" wrapText="1"/>
    </xf>
    <xf numFmtId="4" fontId="0" fillId="0" borderId="0" xfId="0" applyNumberFormat="1" applyBorder="1"/>
    <xf numFmtId="4" fontId="0" fillId="0" borderId="0" xfId="0" applyNumberFormat="1" applyFill="1" applyBorder="1"/>
    <xf numFmtId="4" fontId="0" fillId="0" borderId="1" xfId="0" applyNumberFormat="1" applyFill="1" applyBorder="1"/>
    <xf numFmtId="0" fontId="1" fillId="0" borderId="1" xfId="2" applyFont="1" applyFill="1" applyBorder="1" applyAlignment="1"/>
    <xf numFmtId="0" fontId="0" fillId="0" borderId="1" xfId="0" applyFill="1" applyBorder="1" applyAlignment="1">
      <alignment horizontal="center"/>
    </xf>
    <xf numFmtId="0" fontId="16" fillId="0" borderId="1" xfId="5" applyFill="1" applyBorder="1" applyAlignment="1"/>
    <xf numFmtId="0" fontId="30" fillId="0" borderId="1" xfId="5" applyFont="1" applyFill="1" applyBorder="1" applyAlignment="1">
      <alignment horizontal="center"/>
    </xf>
    <xf numFmtId="4" fontId="30" fillId="0" borderId="1" xfId="5" applyNumberFormat="1" applyFont="1" applyFill="1" applyBorder="1" applyAlignment="1"/>
    <xf numFmtId="0" fontId="0" fillId="0" borderId="1" xfId="0" applyFill="1" applyBorder="1"/>
    <xf numFmtId="0" fontId="30" fillId="0" borderId="1" xfId="5" applyFont="1" applyFill="1" applyBorder="1" applyAlignment="1"/>
    <xf numFmtId="0" fontId="16" fillId="0" borderId="1" xfId="5" applyFill="1" applyBorder="1" applyAlignment="1">
      <alignment horizontal="center"/>
    </xf>
    <xf numFmtId="4" fontId="16" fillId="0" borderId="1" xfId="5" applyNumberFormat="1" applyFill="1" applyBorder="1" applyAlignment="1"/>
    <xf numFmtId="0" fontId="8" fillId="0" borderId="1" xfId="9" applyFont="1" applyFill="1" applyBorder="1" applyAlignment="1"/>
    <xf numFmtId="0" fontId="8" fillId="0" borderId="1" xfId="9" applyFont="1" applyFill="1" applyBorder="1" applyAlignment="1">
      <alignment horizontal="center"/>
    </xf>
    <xf numFmtId="0" fontId="8" fillId="0" borderId="1" xfId="9" applyNumberFormat="1" applyFill="1" applyBorder="1" applyAlignment="1">
      <alignment horizontal="center"/>
    </xf>
    <xf numFmtId="4" fontId="8" fillId="0" borderId="1" xfId="9" applyNumberFormat="1" applyFill="1" applyBorder="1" applyAlignment="1"/>
    <xf numFmtId="0" fontId="2" fillId="0" borderId="1" xfId="10" applyFont="1" applyFill="1" applyBorder="1" applyAlignment="1"/>
    <xf numFmtId="0" fontId="2" fillId="0" borderId="1" xfId="11" applyFont="1" applyFill="1" applyBorder="1" applyAlignment="1">
      <alignment horizontal="center"/>
    </xf>
    <xf numFmtId="0" fontId="4" fillId="0" borderId="1" xfId="11" applyFill="1" applyBorder="1" applyAlignment="1">
      <alignment horizontal="center"/>
    </xf>
    <xf numFmtId="4" fontId="30" fillId="0" borderId="1" xfId="11" applyNumberFormat="1" applyFont="1" applyFill="1" applyBorder="1" applyAlignment="1"/>
    <xf numFmtId="0" fontId="0" fillId="0" borderId="1" xfId="0" applyFont="1" applyFill="1" applyBorder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46">
    <cellStyle name="Обычный" xfId="0" builtinId="0"/>
    <cellStyle name="Обычный 2" xfId="1"/>
    <cellStyle name="Обычный 2 2" xfId="3"/>
    <cellStyle name="Обычный 2 3" xfId="23"/>
    <cellStyle name="Обычный 2 3 2" xfId="38"/>
    <cellStyle name="Обычный 2 4" xfId="42"/>
    <cellStyle name="Обычный 2 5" xfId="8"/>
    <cellStyle name="Обычный 2 5 2" xfId="34"/>
    <cellStyle name="Обычный 2 5 3" xfId="16"/>
    <cellStyle name="Обычный 2 6" xfId="27"/>
    <cellStyle name="Обычный 2 7" xfId="18"/>
    <cellStyle name="Обычный 2 8" xfId="12"/>
    <cellStyle name="Обычный 3" xfId="2"/>
    <cellStyle name="Обычный 3 2" xfId="24"/>
    <cellStyle name="Обычный 3 2 2" xfId="39"/>
    <cellStyle name="Обычный 3 2 3" xfId="32"/>
    <cellStyle name="Обычный 3 3" xfId="43"/>
    <cellStyle name="Обычный 3 4" xfId="35"/>
    <cellStyle name="Обычный 3 5" xfId="28"/>
    <cellStyle name="Обычный 3 6" xfId="19"/>
    <cellStyle name="Обычный 3 7" xfId="13"/>
    <cellStyle name="Обычный 4" xfId="4"/>
    <cellStyle name="Обычный 4 2" xfId="6"/>
    <cellStyle name="Обычный 4 2 2" xfId="11"/>
    <cellStyle name="Обычный 4 2 2 2" xfId="40"/>
    <cellStyle name="Обычный 4 2 3" xfId="33"/>
    <cellStyle name="Обычный 4 2 4" xfId="25"/>
    <cellStyle name="Обычный 4 3" xfId="44"/>
    <cellStyle name="Обычный 4 4" xfId="36"/>
    <cellStyle name="Обычный 4 5" xfId="29"/>
    <cellStyle name="Обычный 4 6" xfId="20"/>
    <cellStyle name="Обычный 4 7" xfId="14"/>
    <cellStyle name="Обычный 5" xfId="5"/>
    <cellStyle name="Обычный 5 2" xfId="9"/>
    <cellStyle name="Обычный 5 2 2" xfId="41"/>
    <cellStyle name="Обычный 5 2 3" xfId="26"/>
    <cellStyle name="Обычный 5 2 4" xfId="17"/>
    <cellStyle name="Обычный 5 3" xfId="10"/>
    <cellStyle name="Обычный 5 3 2" xfId="45"/>
    <cellStyle name="Обычный 5 3 3" xfId="22"/>
    <cellStyle name="Обычный 5 4" xfId="37"/>
    <cellStyle name="Обычный 5 5" xfId="30"/>
    <cellStyle name="Обычный 5 6" xfId="21"/>
    <cellStyle name="Обычный 5 7" xfId="15"/>
    <cellStyle name="Обычный 6" xfId="7"/>
    <cellStyle name="Обычный 6 2" xfId="3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1" t="s">
        <v>174</v>
      </c>
      <c r="B2" s="191"/>
      <c r="C2" s="191"/>
      <c r="D2" s="191"/>
      <c r="E2" s="191"/>
      <c r="F2" s="191"/>
      <c r="G2" s="191"/>
      <c r="H2" s="191"/>
      <c r="I2" s="191"/>
      <c r="J2" s="19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45292</v>
      </c>
      <c r="K4" s="109"/>
      <c r="L4" s="109"/>
      <c r="M4" s="109"/>
      <c r="N4" s="109"/>
    </row>
    <row r="5" spans="1:18">
      <c r="A5" s="1" t="s">
        <v>1</v>
      </c>
      <c r="E5" s="117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9"/>
      <c r="L8" s="192"/>
      <c r="M8" s="109"/>
      <c r="N8" s="109"/>
      <c r="O8" s="70" t="s">
        <v>80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9"/>
      <c r="L9" s="192"/>
      <c r="M9" s="109"/>
      <c r="N9" s="109"/>
      <c r="O9" s="70" t="s">
        <v>81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130984.1</v>
      </c>
      <c r="K10" s="109"/>
      <c r="L10" s="192"/>
      <c r="M10" s="109"/>
      <c r="N10" s="109"/>
      <c r="O10" s="70" t="s">
        <v>82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1234292.69</v>
      </c>
      <c r="K11" s="109"/>
      <c r="L11" s="192"/>
      <c r="M11" s="109"/>
      <c r="N11" s="109"/>
      <c r="O11" s="70" t="s">
        <v>83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994418.69</v>
      </c>
      <c r="K12" s="109"/>
      <c r="L12" s="192"/>
      <c r="M12" s="109"/>
      <c r="N12" s="109"/>
      <c r="O12" s="70" t="s">
        <v>84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239874</v>
      </c>
      <c r="K13" s="109"/>
      <c r="L13" s="192"/>
      <c r="M13" s="109"/>
      <c r="N13" s="109"/>
      <c r="O13" s="70" t="s">
        <v>85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9"/>
      <c r="L14" s="192"/>
      <c r="M14" s="109"/>
      <c r="N14" s="109"/>
      <c r="O14" s="70" t="s">
        <v>86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1260548.97</v>
      </c>
      <c r="K15" s="109"/>
      <c r="L15" s="192"/>
      <c r="M15" s="109"/>
      <c r="N15" s="109"/>
      <c r="O15" s="70" t="s">
        <v>87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1260548.97</v>
      </c>
      <c r="K16" s="109"/>
      <c r="L16" s="192"/>
      <c r="M16" s="109"/>
      <c r="N16" s="109"/>
      <c r="O16" s="70" t="s">
        <v>88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9"/>
      <c r="L17" s="192"/>
      <c r="M17" s="109"/>
      <c r="N17" s="109"/>
      <c r="O17" s="70" t="s">
        <v>89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9"/>
      <c r="L18" s="192"/>
      <c r="M18" s="109"/>
      <c r="N18" s="109"/>
      <c r="O18" s="70" t="s">
        <v>90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9"/>
      <c r="L19" s="192"/>
      <c r="M19" s="109"/>
      <c r="N19" s="109"/>
      <c r="O19" s="70" t="s">
        <v>91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9"/>
      <c r="L20" s="192"/>
      <c r="M20" s="109"/>
      <c r="N20" s="109"/>
      <c r="O20" s="70" t="s">
        <v>92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1260548.97</v>
      </c>
      <c r="K21" s="109"/>
      <c r="L21" s="192"/>
      <c r="M21" s="109"/>
      <c r="N21" s="109"/>
      <c r="O21" s="70" t="s">
        <v>93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9"/>
      <c r="L22" s="192"/>
      <c r="M22" s="109"/>
      <c r="N22" s="109"/>
      <c r="O22" s="70" t="s">
        <v>94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9"/>
      <c r="L23" s="192"/>
      <c r="M23" s="109"/>
      <c r="N23" s="109"/>
      <c r="O23" s="70" t="s">
        <v>95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104727.82000000007</v>
      </c>
      <c r="K24" s="109"/>
      <c r="L24" s="192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56</v>
      </c>
      <c r="I27" s="175" t="s">
        <v>21</v>
      </c>
      <c r="J27" s="175"/>
      <c r="K27" s="109"/>
      <c r="L27" s="19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0">
        <f>VLOOKUP(A28,ПТО!$A$39:$D$53,2,FALSE)</f>
        <v>292166.53200000001</v>
      </c>
      <c r="G28" s="170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9"/>
      <c r="L28" s="19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0">
        <f>VLOOKUP(A29,ПТО!$A$39:$D$53,2,FALSE)</f>
        <v>135768.68400000001</v>
      </c>
      <c r="G29" s="170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9"/>
      <c r="L29" s="193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9" t="str">
        <f>ПТО!A41</f>
        <v xml:space="preserve">Работы по содержанию земельного участка </v>
      </c>
      <c r="B30" s="169"/>
      <c r="C30" s="169"/>
      <c r="D30" s="169"/>
      <c r="E30" s="169"/>
      <c r="F30" s="170">
        <f>VLOOKUP(A30,ПТО!$A$39:$D$53,2,FALSE)</f>
        <v>75320.436000000002</v>
      </c>
      <c r="G30" s="170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9"/>
      <c r="L30" s="193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0">
        <f>VLOOKUP(A31,ПТО!$A$39:$D$53,2,FALSE)</f>
        <v>57569.759999999995</v>
      </c>
      <c r="G31" s="170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9"/>
      <c r="L31" s="19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9"/>
      <c r="L32" s="193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0">
        <f>VLOOKUP(A33,ПТО!$A$39:$D$53,2,FALSE)</f>
        <v>15351.936</v>
      </c>
      <c r="G33" s="170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9"/>
      <c r="L33" s="19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0">
        <f>VLOOKUP(A34,ПТО!$A$39:$D$53,2,FALSE)</f>
        <v>104105.31600000001</v>
      </c>
      <c r="G34" s="170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9"/>
      <c r="L34" s="19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9" t="str">
        <f>ПТО!A46</f>
        <v>Работы (услуги) по управлению многоквартирным домом</v>
      </c>
      <c r="B35" s="169"/>
      <c r="C35" s="169"/>
      <c r="D35" s="169"/>
      <c r="E35" s="169"/>
      <c r="F35" s="170">
        <f>VLOOKUP(A35,ПТО!$A$39:$D$53,2,FALSE)</f>
        <v>239874</v>
      </c>
      <c r="G35" s="170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9"/>
      <c r="L35" s="193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9"/>
      <c r="L36" s="193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9"/>
      <c r="L37" s="193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9"/>
      <c r="L38" s="193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9"/>
      <c r="L39" s="193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9"/>
      <c r="L40" s="193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9"/>
      <c r="L41" s="193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9"/>
      <c r="L42" s="193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9" t="str">
        <f>ПТО!A2</f>
        <v>Техническое обслуживание охранной сигнализации.</v>
      </c>
      <c r="B43" s="169"/>
      <c r="C43" s="169"/>
      <c r="D43" s="169"/>
      <c r="E43" s="169"/>
      <c r="F43" s="170">
        <f>VLOOKUP(A43,ПТО!$A$2:$D$31,4,FALSE)</f>
        <v>12000</v>
      </c>
      <c r="G43" s="170"/>
      <c r="H43" s="19" t="str">
        <f>VLOOKUP(A43,ПТО!$A$2:$D$31,2,FALSE)</f>
        <v>ежемесячно</v>
      </c>
      <c r="I43" s="171">
        <f>VLOOKUP(A43,ПТО!$A$2:$D$31,3,FALSE)</f>
        <v>12</v>
      </c>
      <c r="J43" s="171"/>
      <c r="K43" s="109"/>
      <c r="L43" s="193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169" t="str">
        <f>ПТО!A3</f>
        <v>Техническое освидетельствование лифтов.</v>
      </c>
      <c r="B44" s="169"/>
      <c r="C44" s="169"/>
      <c r="D44" s="169"/>
      <c r="E44" s="169"/>
      <c r="F44" s="170">
        <f>VLOOKUP(A44,ПТО!$A$2:$D$31,4,FALSE)</f>
        <v>8200</v>
      </c>
      <c r="G44" s="170"/>
      <c r="H44" s="25" t="str">
        <f>VLOOKUP(A44,ПТО!$A$2:$D$31,2,FALSE)</f>
        <v>ежегодно</v>
      </c>
      <c r="I44" s="171">
        <f>VLOOKUP(A44,ПТО!$A$2:$D$31,3,FALSE)</f>
        <v>2</v>
      </c>
      <c r="J44" s="171"/>
      <c r="K44" s="109"/>
      <c r="L44" s="193"/>
      <c r="M44" s="116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69" t="str">
        <f>ПТО!A4</f>
        <v>Механизированная уборка и вывоз снега с придомовой территории.</v>
      </c>
      <c r="B45" s="169"/>
      <c r="C45" s="169"/>
      <c r="D45" s="169"/>
      <c r="E45" s="169"/>
      <c r="F45" s="170">
        <f>VLOOKUP(A45,ПТО!$A$2:$D$31,4,FALSE)</f>
        <v>13436</v>
      </c>
      <c r="G45" s="170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9"/>
      <c r="L45" s="193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69" t="str">
        <f>ПТО!A5</f>
        <v>Замена светильника в лифтовом холле (2 этаж).</v>
      </c>
      <c r="B46" s="169"/>
      <c r="C46" s="169"/>
      <c r="D46" s="169"/>
      <c r="E46" s="169"/>
      <c r="F46" s="170">
        <f>VLOOKUP(A46,ПТО!$A$2:$D$31,4,FALSE)</f>
        <v>4000</v>
      </c>
      <c r="G46" s="170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9"/>
      <c r="L46" s="193"/>
      <c r="M46" s="116"/>
      <c r="N46" s="109"/>
      <c r="O46" s="23" t="str">
        <f t="shared" si="1"/>
        <v>Замена светильника в лифтовом холле (2 этаж).</v>
      </c>
      <c r="R46" s="22" t="s">
        <v>71</v>
      </c>
    </row>
    <row r="47" spans="1:18" ht="51" customHeight="1" outlineLevel="1">
      <c r="A47" s="169" t="str">
        <f>ПТО!A6</f>
        <v>Пуско-наладочные работы на приборе учета тепловой энергии.</v>
      </c>
      <c r="B47" s="169"/>
      <c r="C47" s="169"/>
      <c r="D47" s="169"/>
      <c r="E47" s="169"/>
      <c r="F47" s="170">
        <f>VLOOKUP(A47,ПТО!$A$2:$D$31,4,FALSE)</f>
        <v>8346</v>
      </c>
      <c r="G47" s="170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9"/>
      <c r="L47" s="193"/>
      <c r="M47" s="116"/>
      <c r="N47" s="109"/>
      <c r="O47" s="23" t="str">
        <f t="shared" si="1"/>
        <v>Пуско-наладочные работы на приборе учета тепловой энергии.</v>
      </c>
      <c r="R47" s="22" t="s">
        <v>71</v>
      </c>
    </row>
    <row r="48" spans="1:18" ht="51" hidden="1" customHeight="1" outlineLevel="1">
      <c r="A48" s="169">
        <f>ПТО!A7</f>
        <v>0</v>
      </c>
      <c r="B48" s="169"/>
      <c r="C48" s="169"/>
      <c r="D48" s="169"/>
      <c r="E48" s="169"/>
      <c r="F48" s="170" t="e">
        <f>VLOOKUP(A48,ПТО!$A$2:$D$31,4,FALSE)</f>
        <v>#N/A</v>
      </c>
      <c r="G48" s="170"/>
      <c r="H48" s="25" t="e">
        <f>VLOOKUP(A48,ПТО!$A$2:$D$31,2,FALSE)</f>
        <v>#N/A</v>
      </c>
      <c r="I48" s="171" t="e">
        <f>VLOOKUP(A48,ПТО!$A$2:$D$31,3,FALSE)</f>
        <v>#N/A</v>
      </c>
      <c r="J48" s="171"/>
      <c r="K48" s="109"/>
      <c r="L48" s="193"/>
      <c r="M48" s="116"/>
      <c r="N48" s="109"/>
      <c r="O48" s="23">
        <f t="shared" si="1"/>
        <v>0</v>
      </c>
      <c r="R48" s="22" t="s">
        <v>71</v>
      </c>
    </row>
    <row r="49" spans="1:18" ht="51" hidden="1" customHeight="1" outlineLevel="1">
      <c r="A49" s="169">
        <f>ПТО!A8</f>
        <v>0</v>
      </c>
      <c r="B49" s="169"/>
      <c r="C49" s="169"/>
      <c r="D49" s="169"/>
      <c r="E49" s="169"/>
      <c r="F49" s="170" t="e">
        <f>VLOOKUP(A49,ПТО!$A$2:$D$31,4,FALSE)</f>
        <v>#N/A</v>
      </c>
      <c r="G49" s="170"/>
      <c r="H49" s="25" t="e">
        <f>VLOOKUP(A49,ПТО!$A$2:$D$31,2,FALSE)</f>
        <v>#N/A</v>
      </c>
      <c r="I49" s="171" t="e">
        <f>VLOOKUP(A49,ПТО!$A$2:$D$31,3,FALSE)</f>
        <v>#N/A</v>
      </c>
      <c r="J49" s="171"/>
      <c r="K49" s="109"/>
      <c r="L49" s="193"/>
      <c r="M49" s="116"/>
      <c r="N49" s="109"/>
      <c r="O49" s="23">
        <f t="shared" si="1"/>
        <v>0</v>
      </c>
      <c r="R49" s="22" t="s">
        <v>71</v>
      </c>
    </row>
    <row r="50" spans="1:18" ht="51" hidden="1" customHeight="1" outlineLevel="1">
      <c r="A50" s="169">
        <f>ПТО!A9</f>
        <v>0</v>
      </c>
      <c r="B50" s="169"/>
      <c r="C50" s="169"/>
      <c r="D50" s="169"/>
      <c r="E50" s="169"/>
      <c r="F50" s="170" t="e">
        <f>VLOOKUP(A50,ПТО!$A$2:$D$31,4,FALSE)</f>
        <v>#N/A</v>
      </c>
      <c r="G50" s="170"/>
      <c r="H50" s="25" t="e">
        <f>VLOOKUP(A50,ПТО!$A$2:$D$31,2,FALSE)</f>
        <v>#N/A</v>
      </c>
      <c r="I50" s="171" t="e">
        <f>VLOOKUP(A50,ПТО!$A$2:$D$31,3,FALSE)</f>
        <v>#N/A</v>
      </c>
      <c r="J50" s="171"/>
      <c r="K50" s="109"/>
      <c r="L50" s="193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69">
        <f>ПТО!A10</f>
        <v>0</v>
      </c>
      <c r="B51" s="169"/>
      <c r="C51" s="169"/>
      <c r="D51" s="169"/>
      <c r="E51" s="169"/>
      <c r="F51" s="170" t="e">
        <f>VLOOKUP(A51,ПТО!$A$2:$D$31,4,FALSE)</f>
        <v>#N/A</v>
      </c>
      <c r="G51" s="170"/>
      <c r="H51" s="25" t="e">
        <f>VLOOKUP(A51,ПТО!$A$2:$D$31,2,FALSE)</f>
        <v>#N/A</v>
      </c>
      <c r="I51" s="171" t="e">
        <f>VLOOKUP(A51,ПТО!$A$2:$D$31,3,FALSE)</f>
        <v>#N/A</v>
      </c>
      <c r="J51" s="171"/>
      <c r="K51" s="109"/>
      <c r="L51" s="193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9">
        <f>ПТО!A11</f>
        <v>0</v>
      </c>
      <c r="B52" s="169"/>
      <c r="C52" s="169"/>
      <c r="D52" s="169"/>
      <c r="E52" s="169"/>
      <c r="F52" s="170" t="e">
        <f>VLOOKUP(A52,ПТО!$A$2:$D$31,4,FALSE)</f>
        <v>#N/A</v>
      </c>
      <c r="G52" s="170"/>
      <c r="H52" s="25" t="e">
        <f>VLOOKUP(A52,ПТО!$A$2:$D$31,2,FALSE)</f>
        <v>#N/A</v>
      </c>
      <c r="I52" s="171" t="e">
        <f>VLOOKUP(A52,ПТО!$A$2:$D$31,3,FALSE)</f>
        <v>#N/A</v>
      </c>
      <c r="J52" s="171"/>
      <c r="K52" s="109"/>
      <c r="L52" s="193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9">
        <f>ПТО!A12</f>
        <v>0</v>
      </c>
      <c r="B53" s="169"/>
      <c r="C53" s="169"/>
      <c r="D53" s="169"/>
      <c r="E53" s="169"/>
      <c r="F53" s="170" t="e">
        <f>VLOOKUP(A53,ПТО!$A$2:$D$31,4,FALSE)</f>
        <v>#N/A</v>
      </c>
      <c r="G53" s="170"/>
      <c r="H53" s="25" t="e">
        <f>VLOOKUP(A53,ПТО!$A$2:$D$31,2,FALSE)</f>
        <v>#N/A</v>
      </c>
      <c r="I53" s="171" t="e">
        <f>VLOOKUP(A53,ПТО!$A$2:$D$31,3,FALSE)</f>
        <v>#N/A</v>
      </c>
      <c r="J53" s="171"/>
      <c r="K53" s="109"/>
      <c r="L53" s="193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9">
        <f>ПТО!A13</f>
        <v>0</v>
      </c>
      <c r="B54" s="169"/>
      <c r="C54" s="169"/>
      <c r="D54" s="169"/>
      <c r="E54" s="169"/>
      <c r="F54" s="170" t="e">
        <f>VLOOKUP(A54,ПТО!$A$2:$D$31,4,FALSE)</f>
        <v>#N/A</v>
      </c>
      <c r="G54" s="170"/>
      <c r="H54" s="25" t="e">
        <f>VLOOKUP(A54,ПТО!$A$2:$D$31,2,FALSE)</f>
        <v>#N/A</v>
      </c>
      <c r="I54" s="171" t="e">
        <f>VLOOKUP(A54,ПТО!$A$2:$D$31,3,FALSE)</f>
        <v>#N/A</v>
      </c>
      <c r="J54" s="171"/>
      <c r="K54" s="109"/>
      <c r="L54" s="193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9">
        <f>ПТО!A14</f>
        <v>0</v>
      </c>
      <c r="B55" s="169"/>
      <c r="C55" s="169"/>
      <c r="D55" s="169"/>
      <c r="E55" s="169"/>
      <c r="F55" s="170" t="e">
        <f>VLOOKUP(A55,ПТО!$A$2:$D$31,4,FALSE)</f>
        <v>#N/A</v>
      </c>
      <c r="G55" s="170"/>
      <c r="H55" s="25" t="e">
        <f>VLOOKUP(A55,ПТО!$A$2:$D$31,2,FALSE)</f>
        <v>#N/A</v>
      </c>
      <c r="I55" s="171" t="e">
        <f>VLOOKUP(A55,ПТО!$A$2:$D$31,3,FALSE)</f>
        <v>#N/A</v>
      </c>
      <c r="J55" s="171"/>
      <c r="K55" s="109"/>
      <c r="L55" s="193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9">
        <f>ПТО!A15</f>
        <v>0</v>
      </c>
      <c r="B56" s="169"/>
      <c r="C56" s="169"/>
      <c r="D56" s="169"/>
      <c r="E56" s="169"/>
      <c r="F56" s="170" t="e">
        <f>VLOOKUP(A56,ПТО!$A$2:$D$31,4,FALSE)</f>
        <v>#N/A</v>
      </c>
      <c r="G56" s="170"/>
      <c r="H56" s="25" t="e">
        <f>VLOOKUP(A56,ПТО!$A$2:$D$31,2,FALSE)</f>
        <v>#N/A</v>
      </c>
      <c r="I56" s="171" t="e">
        <f>VLOOKUP(A56,ПТО!$A$2:$D$31,3,FALSE)</f>
        <v>#N/A</v>
      </c>
      <c r="J56" s="171"/>
      <c r="K56" s="109"/>
      <c r="L56" s="193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9">
        <f>ПТО!A16</f>
        <v>0</v>
      </c>
      <c r="B57" s="169"/>
      <c r="C57" s="169"/>
      <c r="D57" s="169"/>
      <c r="E57" s="169"/>
      <c r="F57" s="170" t="e">
        <f>VLOOKUP(A57,ПТО!$A$2:$D$31,4,FALSE)</f>
        <v>#N/A</v>
      </c>
      <c r="G57" s="170"/>
      <c r="H57" s="25" t="e">
        <f>VLOOKUP(A57,ПТО!$A$2:$D$31,2,FALSE)</f>
        <v>#N/A</v>
      </c>
      <c r="I57" s="171" t="e">
        <f>VLOOKUP(A57,ПТО!$A$2:$D$31,3,FALSE)</f>
        <v>#N/A</v>
      </c>
      <c r="J57" s="171"/>
      <c r="K57" s="109"/>
      <c r="L57" s="193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9">
        <f>ПТО!A17</f>
        <v>0</v>
      </c>
      <c r="B58" s="169"/>
      <c r="C58" s="169"/>
      <c r="D58" s="169"/>
      <c r="E58" s="169"/>
      <c r="F58" s="170" t="e">
        <f>VLOOKUP(A58,ПТО!$A$2:$D$31,4,FALSE)</f>
        <v>#N/A</v>
      </c>
      <c r="G58" s="170"/>
      <c r="H58" s="25" t="e">
        <f>VLOOKUP(A58,ПТО!$A$2:$D$31,2,FALSE)</f>
        <v>#N/A</v>
      </c>
      <c r="I58" s="171" t="e">
        <f>VLOOKUP(A58,ПТО!$A$2:$D$31,3,FALSE)</f>
        <v>#N/A</v>
      </c>
      <c r="J58" s="171"/>
      <c r="K58" s="109"/>
      <c r="L58" s="193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9">
        <f>ПТО!A18</f>
        <v>0</v>
      </c>
      <c r="B59" s="169"/>
      <c r="C59" s="169"/>
      <c r="D59" s="169"/>
      <c r="E59" s="169"/>
      <c r="F59" s="170" t="e">
        <f>VLOOKUP(A59,ПТО!$A$2:$D$31,4,FALSE)</f>
        <v>#N/A</v>
      </c>
      <c r="G59" s="170"/>
      <c r="H59" s="25" t="e">
        <f>VLOOKUP(A59,ПТО!$A$2:$D$31,2,FALSE)</f>
        <v>#N/A</v>
      </c>
      <c r="I59" s="171" t="e">
        <f>VLOOKUP(A59,ПТО!$A$2:$D$31,3,FALSE)</f>
        <v>#N/A</v>
      </c>
      <c r="J59" s="171"/>
      <c r="K59" s="109"/>
      <c r="L59" s="193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9">
        <f>ПТО!A19</f>
        <v>0</v>
      </c>
      <c r="B60" s="169"/>
      <c r="C60" s="169"/>
      <c r="D60" s="169"/>
      <c r="E60" s="169"/>
      <c r="F60" s="170" t="e">
        <f>VLOOKUP(A60,ПТО!$A$2:$D$31,4,FALSE)</f>
        <v>#N/A</v>
      </c>
      <c r="G60" s="170"/>
      <c r="H60" s="25" t="e">
        <f>VLOOKUP(A60,ПТО!$A$2:$D$31,2,FALSE)</f>
        <v>#N/A</v>
      </c>
      <c r="I60" s="171" t="e">
        <f>VLOOKUP(A60,ПТО!$A$2:$D$31,3,FALSE)</f>
        <v>#N/A</v>
      </c>
      <c r="J60" s="171"/>
      <c r="K60" s="109"/>
      <c r="L60" s="193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9">
        <f>ПТО!A20</f>
        <v>0</v>
      </c>
      <c r="B61" s="169"/>
      <c r="C61" s="169"/>
      <c r="D61" s="169"/>
      <c r="E61" s="169"/>
      <c r="F61" s="170" t="e">
        <f>VLOOKUP(A61,ПТО!$A$2:$D$31,4,FALSE)</f>
        <v>#N/A</v>
      </c>
      <c r="G61" s="170"/>
      <c r="H61" s="25" t="e">
        <f>VLOOKUP(A61,ПТО!$A$2:$D$31,2,FALSE)</f>
        <v>#N/A</v>
      </c>
      <c r="I61" s="171" t="e">
        <f>VLOOKUP(A61,ПТО!$A$2:$D$31,3,FALSE)</f>
        <v>#N/A</v>
      </c>
      <c r="J61" s="171"/>
      <c r="K61" s="109"/>
      <c r="L61" s="193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9">
        <f>ПТО!A21</f>
        <v>0</v>
      </c>
      <c r="B62" s="169"/>
      <c r="C62" s="169"/>
      <c r="D62" s="169"/>
      <c r="E62" s="169"/>
      <c r="F62" s="170" t="e">
        <f>VLOOKUP(A62,ПТО!$A$2:$D$31,4,FALSE)</f>
        <v>#N/A</v>
      </c>
      <c r="G62" s="170"/>
      <c r="H62" s="25" t="e">
        <f>VLOOKUP(A62,ПТО!$A$2:$D$31,2,FALSE)</f>
        <v>#N/A</v>
      </c>
      <c r="I62" s="171" t="e">
        <f>VLOOKUP(A62,ПТО!$A$2:$D$31,3,FALSE)</f>
        <v>#N/A</v>
      </c>
      <c r="J62" s="171"/>
      <c r="K62" s="109"/>
      <c r="L62" s="193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9">
        <f>ПТО!A22</f>
        <v>0</v>
      </c>
      <c r="B63" s="169"/>
      <c r="C63" s="169"/>
      <c r="D63" s="169"/>
      <c r="E63" s="169"/>
      <c r="F63" s="170" t="e">
        <f>VLOOKUP(A63,ПТО!$A$2:$D$31,4,FALSE)</f>
        <v>#N/A</v>
      </c>
      <c r="G63" s="170"/>
      <c r="H63" s="25" t="e">
        <f>VLOOKUP(A63,ПТО!$A$2:$D$31,2,FALSE)</f>
        <v>#N/A</v>
      </c>
      <c r="I63" s="171" t="e">
        <f>VLOOKUP(A63,ПТО!$A$2:$D$31,3,FALSE)</f>
        <v>#N/A</v>
      </c>
      <c r="J63" s="171"/>
      <c r="K63" s="109"/>
      <c r="L63" s="193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9">
        <f>ПТО!A23</f>
        <v>0</v>
      </c>
      <c r="B64" s="169"/>
      <c r="C64" s="169"/>
      <c r="D64" s="169"/>
      <c r="E64" s="169"/>
      <c r="F64" s="170" t="e">
        <f>VLOOKUP(A64,ПТО!$A$2:$D$31,4,FALSE)</f>
        <v>#N/A</v>
      </c>
      <c r="G64" s="170"/>
      <c r="H64" s="25" t="e">
        <f>VLOOKUP(A64,ПТО!$A$2:$D$31,2,FALSE)</f>
        <v>#N/A</v>
      </c>
      <c r="I64" s="171" t="e">
        <f>VLOOKUP(A64,ПТО!$A$2:$D$31,3,FALSE)</f>
        <v>#N/A</v>
      </c>
      <c r="J64" s="171"/>
      <c r="K64" s="109"/>
      <c r="L64" s="193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9">
        <f>ПТО!A24</f>
        <v>0</v>
      </c>
      <c r="B65" s="169"/>
      <c r="C65" s="169"/>
      <c r="D65" s="169"/>
      <c r="E65" s="169"/>
      <c r="F65" s="170" t="e">
        <f>VLOOKUP(A65,ПТО!$A$2:$D$31,4,FALSE)</f>
        <v>#N/A</v>
      </c>
      <c r="G65" s="170"/>
      <c r="H65" s="25" t="e">
        <f>VLOOKUP(A65,ПТО!$A$2:$D$31,2,FALSE)</f>
        <v>#N/A</v>
      </c>
      <c r="I65" s="171" t="e">
        <f>VLOOKUP(A65,ПТО!$A$2:$D$31,3,FALSE)</f>
        <v>#N/A</v>
      </c>
      <c r="J65" s="171"/>
      <c r="K65" s="109"/>
      <c r="L65" s="193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9">
        <f>ПТО!A25</f>
        <v>0</v>
      </c>
      <c r="B66" s="169"/>
      <c r="C66" s="169"/>
      <c r="D66" s="169"/>
      <c r="E66" s="169"/>
      <c r="F66" s="170" t="e">
        <f>VLOOKUP(A66,ПТО!$A$2:$D$31,4,FALSE)</f>
        <v>#N/A</v>
      </c>
      <c r="G66" s="170"/>
      <c r="H66" s="25" t="e">
        <f>VLOOKUP(A66,ПТО!$A$2:$D$31,2,FALSE)</f>
        <v>#N/A</v>
      </c>
      <c r="I66" s="171" t="e">
        <f>VLOOKUP(A66,ПТО!$A$2:$D$31,3,FALSE)</f>
        <v>#N/A</v>
      </c>
      <c r="J66" s="171"/>
      <c r="K66" s="109"/>
      <c r="L66" s="193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9">
        <f>ПТО!A26</f>
        <v>0</v>
      </c>
      <c r="B67" s="169"/>
      <c r="C67" s="169"/>
      <c r="D67" s="169"/>
      <c r="E67" s="169"/>
      <c r="F67" s="170" t="e">
        <f>VLOOKUP(A67,ПТО!$A$2:$D$31,4,FALSE)</f>
        <v>#N/A</v>
      </c>
      <c r="G67" s="170"/>
      <c r="H67" s="25" t="e">
        <f>VLOOKUP(A67,ПТО!$A$2:$D$31,2,FALSE)</f>
        <v>#N/A</v>
      </c>
      <c r="I67" s="171" t="e">
        <f>VLOOKUP(A67,ПТО!$A$2:$D$31,3,FALSE)</f>
        <v>#N/A</v>
      </c>
      <c r="J67" s="171"/>
      <c r="K67" s="109"/>
      <c r="L67" s="193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9">
        <f>ПТО!A27</f>
        <v>0</v>
      </c>
      <c r="B68" s="169"/>
      <c r="C68" s="169"/>
      <c r="D68" s="169"/>
      <c r="E68" s="169"/>
      <c r="F68" s="170" t="e">
        <f>VLOOKUP(A68,ПТО!$A$2:$D$31,4,FALSE)</f>
        <v>#N/A</v>
      </c>
      <c r="G68" s="170"/>
      <c r="H68" s="25" t="e">
        <f>VLOOKUP(A68,ПТО!$A$2:$D$31,2,FALSE)</f>
        <v>#N/A</v>
      </c>
      <c r="I68" s="171" t="e">
        <f>VLOOKUP(A68,ПТО!$A$2:$D$31,3,FALSE)</f>
        <v>#N/A</v>
      </c>
      <c r="J68" s="171"/>
      <c r="K68" s="109"/>
      <c r="L68" s="193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9"/>
      <c r="L69" s="193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9"/>
      <c r="L70" s="193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6"/>
      <c r="L71" s="193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9"/>
      <c r="L72" s="193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7" t="s">
        <v>26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9"/>
      <c r="L75" s="176"/>
      <c r="M75" s="109"/>
      <c r="N75" s="109"/>
      <c r="O75" s="70" t="s">
        <v>97</v>
      </c>
    </row>
    <row r="76" spans="1:16384" ht="18.75" customHeight="1" outlineLevel="1">
      <c r="A76" s="187" t="s">
        <v>27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9"/>
      <c r="L76" s="176"/>
      <c r="M76" s="109"/>
      <c r="N76" s="109"/>
      <c r="O76" s="70" t="s">
        <v>98</v>
      </c>
    </row>
    <row r="77" spans="1:16384" ht="21.75" customHeight="1" outlineLevel="1">
      <c r="A77" s="187" t="s">
        <v>28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9"/>
      <c r="L77" s="176"/>
      <c r="M77" s="109"/>
      <c r="N77" s="109"/>
      <c r="O77" s="70" t="s">
        <v>99</v>
      </c>
    </row>
    <row r="78" spans="1:16384" ht="18.75" customHeight="1" outlineLevel="1">
      <c r="A78" s="187" t="s">
        <v>29</v>
      </c>
      <c r="B78" s="187"/>
      <c r="C78" s="187"/>
      <c r="D78" s="187"/>
      <c r="E78" s="187"/>
      <c r="F78" s="187"/>
      <c r="G78" s="187"/>
      <c r="H78" s="187"/>
      <c r="I78" s="187"/>
      <c r="J78" s="97">
        <f>VLOOKUP(O78,АО,3,FALSE)</f>
        <v>0</v>
      </c>
      <c r="K78" s="109"/>
      <c r="L78" s="176"/>
      <c r="M78" s="109"/>
      <c r="N78" s="109"/>
      <c r="O78" s="70" t="s">
        <v>100</v>
      </c>
    </row>
    <row r="79" spans="1:16384">
      <c r="A79" s="115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7">
        <f t="shared" ref="J81:J90" si="2">VLOOKUP(O81,АО,3,FALSE)</f>
        <v>0</v>
      </c>
      <c r="K81" s="109"/>
      <c r="L81" s="194"/>
      <c r="M81" s="109"/>
      <c r="N81" s="109"/>
      <c r="O81" s="70" t="s">
        <v>101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7">
        <f t="shared" si="2"/>
        <v>0</v>
      </c>
      <c r="K82" s="109"/>
      <c r="L82" s="194"/>
      <c r="M82" s="109"/>
      <c r="N82" s="109"/>
      <c r="O82" s="70" t="s">
        <v>102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7">
        <f t="shared" si="2"/>
        <v>168978.31</v>
      </c>
      <c r="K83" s="109"/>
      <c r="L83" s="194"/>
      <c r="M83" s="109"/>
      <c r="N83" s="109"/>
      <c r="O83" s="70" t="s">
        <v>103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7">
        <f t="shared" si="2"/>
        <v>0</v>
      </c>
      <c r="K84" s="109"/>
      <c r="L84" s="194"/>
      <c r="M84" s="109"/>
      <c r="N84" s="109"/>
      <c r="O84" s="70" t="s">
        <v>104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7">
        <f t="shared" si="2"/>
        <v>0</v>
      </c>
      <c r="K85" s="109"/>
      <c r="L85" s="194"/>
      <c r="M85" s="109"/>
      <c r="N85" s="109"/>
      <c r="O85" s="70" t="s">
        <v>105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7">
        <f t="shared" si="2"/>
        <v>80425.870000000228</v>
      </c>
      <c r="K86" s="109"/>
      <c r="L86" s="194"/>
      <c r="M86" s="109"/>
      <c r="N86" s="109"/>
      <c r="O86" s="70" t="s">
        <v>106</v>
      </c>
    </row>
    <row r="87" spans="1:15" ht="18.75" customHeight="1" outlineLevel="1">
      <c r="A87" s="184" t="s">
        <v>26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9"/>
      <c r="L87" s="194"/>
      <c r="M87" s="109"/>
      <c r="N87" s="109"/>
      <c r="O87" s="70" t="s">
        <v>107</v>
      </c>
    </row>
    <row r="88" spans="1:15" ht="18.75" customHeight="1" outlineLevel="1">
      <c r="A88" s="184" t="s">
        <v>27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9"/>
      <c r="L88" s="194"/>
      <c r="M88" s="109"/>
      <c r="N88" s="109"/>
      <c r="O88" s="70" t="s">
        <v>108</v>
      </c>
    </row>
    <row r="89" spans="1:15" ht="18.75" customHeight="1" outlineLevel="1">
      <c r="A89" s="184" t="s">
        <v>28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9"/>
      <c r="L89" s="194"/>
      <c r="M89" s="109"/>
      <c r="N89" s="109"/>
      <c r="O89" s="70" t="s">
        <v>109</v>
      </c>
    </row>
    <row r="90" spans="1:15" ht="18.75" customHeight="1" outlineLevel="1">
      <c r="A90" s="184" t="s">
        <v>29</v>
      </c>
      <c r="B90" s="185"/>
      <c r="C90" s="185"/>
      <c r="D90" s="185"/>
      <c r="E90" s="185"/>
      <c r="F90" s="185"/>
      <c r="G90" s="185"/>
      <c r="H90" s="185"/>
      <c r="I90" s="186"/>
      <c r="J90" s="97">
        <f t="shared" si="2"/>
        <v>0</v>
      </c>
      <c r="K90" s="109"/>
      <c r="L90" s="194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8" t="s">
        <v>47</v>
      </c>
      <c r="B93" s="178"/>
      <c r="C93" s="178"/>
      <c r="D93" s="181" t="s">
        <v>48</v>
      </c>
      <c r="E93" s="181"/>
      <c r="F93" s="10" t="s">
        <v>49</v>
      </c>
      <c r="G93" s="178" t="s">
        <v>50</v>
      </c>
      <c r="H93" s="178"/>
      <c r="I93" s="178"/>
      <c r="J93" s="178"/>
      <c r="K93" s="109"/>
      <c r="L93" s="109"/>
      <c r="M93" s="109"/>
      <c r="N93" s="109"/>
    </row>
    <row r="94" spans="1:15" hidden="1" outlineLevel="1">
      <c r="A94" s="182">
        <f>IF(VLOOKUP("эл",АО,3,FALSE)&gt;0,"Электроснабжение",0)</f>
        <v>0</v>
      </c>
      <c r="B94" s="182"/>
      <c r="C94" s="182"/>
      <c r="D94" s="180">
        <f>IF(VLOOKUP("эл",АО,3,FALSE)&gt;0,VLOOKUP("эл",АО,3,FALSE),0)</f>
        <v>0</v>
      </c>
      <c r="E94" s="180"/>
      <c r="F94" s="13">
        <f>IF(VLOOKUP("эл",АО,3,FALSE)&gt;0,VLOOKUP("эл",АО,4,FALSE),0)</f>
        <v>0</v>
      </c>
      <c r="G94" s="179">
        <f>VLOOKUP("эл",АО,5,FALSE)</f>
        <v>0</v>
      </c>
      <c r="H94" s="180"/>
      <c r="I94" s="180"/>
      <c r="J94" s="180"/>
      <c r="K94" s="1" t="str">
        <f>VLOOKUP("эл",АО,2,FALSE)</f>
        <v>Электроснабжение</v>
      </c>
      <c r="L94" s="195"/>
    </row>
    <row r="95" spans="1:15" hidden="1" outlineLevel="2">
      <c r="A95" s="183">
        <f>IF(VLOOKUP("эл",АО,3,FALSE)&gt;0,VLOOKUP("эл1",АО,2,FALSE),0)</f>
        <v>0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0</v>
      </c>
      <c r="L95" s="195"/>
      <c r="O95" s="1" t="s">
        <v>111</v>
      </c>
    </row>
    <row r="96" spans="1:15" hidden="1" outlineLevel="2">
      <c r="A96" s="183">
        <f>IF(VLOOKUP("эл",АО,3,FALSE)&gt;0,VLOOKUP("эл2",АО,2,FALSE),0)</f>
        <v>0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0</v>
      </c>
      <c r="L96" s="195"/>
      <c r="O96" s="1" t="s">
        <v>112</v>
      </c>
    </row>
    <row r="97" spans="1:15" hidden="1" outlineLevel="2">
      <c r="A97" s="183">
        <f>IF(VLOOKUP("эл",АО,3,FALSE)&gt;0,VLOOKUP("эл3",АО,2,FALSE),0)</f>
        <v>0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0</v>
      </c>
      <c r="L97" s="195"/>
      <c r="O97" s="1" t="s">
        <v>113</v>
      </c>
    </row>
    <row r="98" spans="1:15" ht="37.5" hidden="1" customHeight="1" outlineLevel="2">
      <c r="A98" s="183">
        <f>IF(VLOOKUP("эл",АО,3,FALSE)&gt;0,VLOOKUP("эл4",АО,2,FALSE),0)</f>
        <v>0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0</v>
      </c>
      <c r="L98" s="195"/>
      <c r="O98" s="1" t="s">
        <v>114</v>
      </c>
    </row>
    <row r="99" spans="1:15" hidden="1" outlineLevel="2">
      <c r="A99" s="183">
        <f>IF(VLOOKUP("эл",АО,3,FALSE)&gt;0,VLOOKUP("эл5",АО,2,FALSE),0)</f>
        <v>0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0</v>
      </c>
      <c r="L99" s="195"/>
      <c r="O99" s="1" t="s">
        <v>115</v>
      </c>
    </row>
    <row r="100" spans="1:15" ht="39" hidden="1" customHeight="1" outlineLevel="2">
      <c r="A100" s="183">
        <f>IF(VLOOKUP("эл",АО,3,FALSE)&gt;0,VLOOKUP("эл6",АО,2,FALSE),0)</f>
        <v>0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95"/>
      <c r="O100" s="1" t="s">
        <v>116</v>
      </c>
    </row>
    <row r="101" spans="1:15" ht="34.5" hidden="1" customHeight="1" outlineLevel="2">
      <c r="A101" s="183">
        <f>IF(VLOOKUP("эл",АО,3,FALSE)&gt;0,VLOOKUP("эл7",АО,2,FALSE),0)</f>
        <v>0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95"/>
      <c r="O101" s="1" t="s">
        <v>117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0" t="str">
        <f>IF(VLOOKUP("хвс",АО,3,FALSE)&gt;0,VLOOKUP("хвс",АО,3,FALSE),0)</f>
        <v>Предоставляется</v>
      </c>
      <c r="E102" s="180"/>
      <c r="F102" s="13" t="str">
        <f>IF(VLOOKUP("хвс",АО,3,FALSE)&gt;0,VLOOKUP("хвс",АО,4,FALSE),0)</f>
        <v>куб.м.</v>
      </c>
      <c r="G102" s="179">
        <f>VLOOKUP("хвс",АО,5,FALSE)</f>
        <v>123851.46</v>
      </c>
      <c r="H102" s="180"/>
      <c r="I102" s="180"/>
      <c r="J102" s="180"/>
      <c r="L102" s="195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7764.98</v>
      </c>
      <c r="L103" s="195"/>
      <c r="O103" s="1" t="s">
        <v>120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125269.25</v>
      </c>
      <c r="L104" s="195"/>
      <c r="O104" s="1" t="s">
        <v>121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95"/>
      <c r="O105" s="1" t="s">
        <v>122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123851.46</v>
      </c>
      <c r="L106" s="195"/>
      <c r="O106" s="1" t="s">
        <v>123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123851.46</v>
      </c>
      <c r="L107" s="195"/>
      <c r="O107" s="1" t="s">
        <v>124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95"/>
      <c r="O108" s="1" t="s">
        <v>125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95"/>
      <c r="O109" s="1" t="s">
        <v>126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0" t="str">
        <f>IF(VLOOKUP("воо",АО,3,FALSE)&gt;0,VLOOKUP("воо",АО,3,FALSE),0)</f>
        <v>Предоставляется</v>
      </c>
      <c r="E110" s="180"/>
      <c r="F110" s="13" t="str">
        <f>IF(VLOOKUP("воо",АО,3,FALSE)&gt;0,VLOOKUP("воо",АО,4,FALSE),0)</f>
        <v>куб.м.</v>
      </c>
      <c r="G110" s="179">
        <f>VLOOKUP("воо",АО,5,FALSE)</f>
        <v>128869.85</v>
      </c>
      <c r="H110" s="180"/>
      <c r="I110" s="180"/>
      <c r="J110" s="180"/>
      <c r="L110" s="195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6646.2</v>
      </c>
      <c r="L111" s="195"/>
      <c r="O111" s="1" t="s">
        <v>128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132480.60999999999</v>
      </c>
      <c r="L112" s="195"/>
      <c r="O112" s="1" t="s">
        <v>129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95"/>
      <c r="O113" s="1" t="s">
        <v>130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128869.85</v>
      </c>
      <c r="L114" s="195"/>
      <c r="O114" s="1" t="s">
        <v>131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128869.85</v>
      </c>
      <c r="L115" s="195"/>
      <c r="O115" s="1" t="s">
        <v>132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95"/>
      <c r="O116" s="1" t="s">
        <v>133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95"/>
      <c r="O117" s="1" t="s">
        <v>134</v>
      </c>
    </row>
    <row r="118" spans="1:15" ht="32.25" customHeight="1" outlineLevel="1">
      <c r="A118" s="182" t="str">
        <f>IF(VLOOKUP("тко",АО,3,FALSE)&gt;0,"Обращение с ТКО",0)</f>
        <v>Обращение с ТКО</v>
      </c>
      <c r="B118" s="182"/>
      <c r="C118" s="182"/>
      <c r="D118" s="180" t="str">
        <f>IF(VLOOKUP("тко",АО,3,FALSE)&gt;0,VLOOKUP("тко",АО,3,FALSE),0)</f>
        <v>Предоставляется</v>
      </c>
      <c r="E118" s="180"/>
      <c r="F118" s="13" t="str">
        <f>IF(VLOOKUP("тко",АО,3,FALSE)&gt;0,VLOOKUP("тко",АО,4,FALSE),0)</f>
        <v>куб.м.</v>
      </c>
      <c r="G118" s="179">
        <f>VLOOKUP("тко",АО,5,FALSE)</f>
        <v>168504.06</v>
      </c>
      <c r="H118" s="180"/>
      <c r="I118" s="180"/>
      <c r="J118" s="180"/>
      <c r="L118" s="47"/>
    </row>
    <row r="119" spans="1:15" ht="32.25" customHeight="1" outlineLevel="2">
      <c r="A119" s="177" t="str">
        <f t="shared" ref="A119:A125" si="8">IF(VLOOKUP("тко",АО,3,FALSE)&gt;0,VLOOKUP(O119,АО,2,FALSE),0)</f>
        <v>Общий объем потребления, нат. показ.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284.70999999999998</v>
      </c>
      <c r="L119" s="47"/>
      <c r="O119" s="1" t="s">
        <v>136</v>
      </c>
    </row>
    <row r="120" spans="1:15" ht="32.25" customHeight="1" outlineLevel="2">
      <c r="A120" s="177" t="str">
        <f t="shared" si="8"/>
        <v>Оплачено потребителями, руб.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171208.21</v>
      </c>
      <c r="L120" s="47"/>
      <c r="O120" s="1" t="s">
        <v>137</v>
      </c>
    </row>
    <row r="121" spans="1:15" ht="32.25" customHeight="1" outlineLevel="2">
      <c r="A121" s="177" t="str">
        <f t="shared" si="8"/>
        <v>Задолженность потребителей, руб.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0</v>
      </c>
      <c r="L121" s="47"/>
      <c r="O121" s="1" t="s">
        <v>138</v>
      </c>
    </row>
    <row r="122" spans="1:15" ht="32.25" customHeight="1" outlineLevel="2">
      <c r="A122" s="177" t="str">
        <f t="shared" si="8"/>
        <v>Начислено поставщиком (поставщиками) коммунального ресурса, руб.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168504.06</v>
      </c>
      <c r="L122" s="47"/>
      <c r="O122" s="1" t="s">
        <v>139</v>
      </c>
    </row>
    <row r="123" spans="1:15" ht="32.25" customHeight="1" outlineLevel="2">
      <c r="A123" s="177" t="str">
        <f t="shared" si="8"/>
        <v>Оплачено поставщику (поставщикам) коммунального ресурса, руб.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168504.06</v>
      </c>
      <c r="L123" s="47"/>
      <c r="O123" s="1" t="s">
        <v>140</v>
      </c>
    </row>
    <row r="124" spans="1:15" ht="32.25" customHeight="1" outlineLevel="2">
      <c r="A124" s="177" t="str">
        <f t="shared" si="8"/>
        <v>Задолженность перед поставщиком (поставщиками) коммунального ресурса, руб.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141</v>
      </c>
    </row>
    <row r="125" spans="1:15" ht="32.25" customHeight="1" outlineLevel="2">
      <c r="A125" s="177" t="str">
        <f t="shared" si="8"/>
        <v>Размер пени и штрафов, уплаченных поставщику (поставщикам) коммунального ресурса, руб.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142</v>
      </c>
    </row>
    <row r="126" spans="1:15" ht="32.25" customHeight="1" outlineLevel="1">
      <c r="A126" s="182" t="str">
        <f>IF(VLOOKUP("гвс",АО,3,FALSE)&gt;0,"Горячее водоснабжение",0)</f>
        <v>Горячее водоснабжение</v>
      </c>
      <c r="B126" s="182"/>
      <c r="C126" s="182"/>
      <c r="D126" s="180" t="str">
        <f>IF(VLOOKUP("гвс",АО,3,FALSE)&gt;0,VLOOKUP("гвс",АО,3,FALSE),0)</f>
        <v>Предоставляется</v>
      </c>
      <c r="E126" s="180"/>
      <c r="F126" s="13" t="str">
        <f>IF(VLOOKUP("гвс",АО,3,FALSE)&gt;0,VLOOKUP("гвс",АО,4,FALSE),0)</f>
        <v>куб.м.</v>
      </c>
      <c r="G126" s="179">
        <f>VLOOKUP("гвс",АО,5,FALSE)</f>
        <v>226247.34</v>
      </c>
      <c r="H126" s="180"/>
      <c r="I126" s="180"/>
      <c r="J126" s="180"/>
      <c r="L126" s="47"/>
    </row>
    <row r="127" spans="1:15" ht="32.25" customHeight="1" outlineLevel="2">
      <c r="A127" s="177" t="str">
        <f t="shared" ref="A127:A133" si="10">IF(VLOOKUP("гвс",АО,3,FALSE)&gt;0,VLOOKUP(O127,АО,2,FALSE),0)</f>
        <v>Общий объем потребления, нат. показ.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1945.71</v>
      </c>
      <c r="L127" s="47"/>
      <c r="O127" s="1" t="s">
        <v>144</v>
      </c>
    </row>
    <row r="128" spans="1:15" ht="32.25" customHeight="1" outlineLevel="2">
      <c r="A128" s="177" t="str">
        <f t="shared" si="10"/>
        <v>Оплачено потребителями, руб.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240228.13</v>
      </c>
      <c r="L128" s="47"/>
      <c r="O128" s="1" t="s">
        <v>145</v>
      </c>
    </row>
    <row r="129" spans="1:15" ht="32.25" customHeight="1" outlineLevel="2">
      <c r="A129" s="177" t="str">
        <f t="shared" si="10"/>
        <v>Задолженность потребителей, руб.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146</v>
      </c>
    </row>
    <row r="130" spans="1:15" ht="32.25" customHeight="1" outlineLevel="2">
      <c r="A130" s="177" t="str">
        <f t="shared" si="10"/>
        <v>Начислено поставщиком (поставщиками) коммунального ресурса, руб.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226247.34</v>
      </c>
      <c r="L130" s="47"/>
      <c r="O130" s="1" t="s">
        <v>147</v>
      </c>
    </row>
    <row r="131" spans="1:15" ht="32.25" customHeight="1" outlineLevel="2">
      <c r="A131" s="177" t="str">
        <f t="shared" si="10"/>
        <v>Оплачено поставщику (поставщикам) коммунального ресурса, руб.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226247.34</v>
      </c>
      <c r="L131" s="47"/>
      <c r="O131" s="1" t="s">
        <v>148</v>
      </c>
    </row>
    <row r="132" spans="1:15" ht="32.25" customHeight="1" outlineLevel="2">
      <c r="A132" s="177" t="str">
        <f t="shared" si="10"/>
        <v>Задолженность перед поставщиком (поставщиками) коммунального ресурса, руб.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149</v>
      </c>
    </row>
    <row r="133" spans="1:15" ht="32.25" customHeight="1" outlineLevel="2">
      <c r="A133" s="177" t="str">
        <f t="shared" si="10"/>
        <v>Размер пени и штрафов, уплаченных поставщику (поставщикам) коммунального ресурса, руб.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150</v>
      </c>
    </row>
    <row r="134" spans="1:15" ht="32.25" customHeight="1" outlineLevel="1">
      <c r="A134" s="182" t="str">
        <f>IF(VLOOKUP("отопление",АО,3,FALSE)&gt;0,"Отопление",0)</f>
        <v>Отопление</v>
      </c>
      <c r="B134" s="182"/>
      <c r="C134" s="182"/>
      <c r="D134" s="180" t="str">
        <f>IF(VLOOKUP("отопление",АО,3,FALSE)&gt;0,VLOOKUP("отопление",АО,3,FALSE),0)</f>
        <v>Предоставляется</v>
      </c>
      <c r="E134" s="180"/>
      <c r="F134" s="13" t="str">
        <f>IF(VLOOKUP("отопление",АО,3,FALSE)&gt;0,VLOOKUP("отопление",АО,4,FALSE),0)</f>
        <v>Гкал</v>
      </c>
      <c r="G134" s="179">
        <f>VLOOKUP("отопление",АО,5,FALSE)</f>
        <v>660486</v>
      </c>
      <c r="H134" s="180"/>
      <c r="I134" s="180"/>
      <c r="J134" s="180"/>
      <c r="L134" s="47"/>
    </row>
    <row r="135" spans="1:15" ht="32.25" customHeight="1" outlineLevel="2">
      <c r="A135" s="177" t="str">
        <f t="shared" ref="A135:A141" si="12">IF(VLOOKUP("отопление",АО,3,FALSE)&gt;0,VLOOKUP(O135,АО,2,FALSE),0)</f>
        <v>Общий объем потребления, нат. показ.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362.05</v>
      </c>
      <c r="L135" s="47"/>
      <c r="O135" s="1" t="s">
        <v>152</v>
      </c>
    </row>
    <row r="136" spans="1:15" ht="32.25" customHeight="1" outlineLevel="2">
      <c r="A136" s="177" t="str">
        <f t="shared" si="12"/>
        <v>Оплачено потребителями, руб.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727324.95</v>
      </c>
      <c r="L136" s="47"/>
      <c r="O136" s="1" t="s">
        <v>153</v>
      </c>
    </row>
    <row r="137" spans="1:15" ht="32.25" customHeight="1" outlineLevel="2">
      <c r="A137" s="177" t="str">
        <f t="shared" si="12"/>
        <v>Задолженность потребителей, руб.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154</v>
      </c>
    </row>
    <row r="138" spans="1:15" ht="32.25" customHeight="1" outlineLevel="2">
      <c r="A138" s="177" t="str">
        <f t="shared" si="12"/>
        <v>Начислено поставщиком (поставщиками) коммунального ресурса, руб.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660486</v>
      </c>
      <c r="L138" s="47"/>
      <c r="O138" s="1" t="s">
        <v>155</v>
      </c>
    </row>
    <row r="139" spans="1:15" ht="32.25" customHeight="1" outlineLevel="2">
      <c r="A139" s="177" t="str">
        <f t="shared" si="12"/>
        <v>Оплачено поставщику (поставщикам) коммунального ресурса, руб.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660486</v>
      </c>
      <c r="L139" s="47"/>
      <c r="O139" s="1" t="s">
        <v>156</v>
      </c>
    </row>
    <row r="140" spans="1:15" ht="32.25" customHeight="1" outlineLevel="2">
      <c r="A140" s="177" t="str">
        <f t="shared" si="12"/>
        <v>Задолженность перед поставщиком (поставщиками) коммунального ресурса, руб.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157</v>
      </c>
    </row>
    <row r="141" spans="1:15" ht="32.25" customHeight="1" outlineLevel="2">
      <c r="A141" s="177" t="str">
        <f t="shared" si="12"/>
        <v>Размер пени и штрафов, уплаченных поставщику (поставщикам) коммунального ресурса, руб.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77" t="s">
        <v>44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168</v>
      </c>
    </row>
    <row r="145" spans="1:15" ht="18.75" customHeight="1" outlineLevel="1">
      <c r="A145" s="177" t="s">
        <v>45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77" t="s">
        <v>171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170</v>
      </c>
    </row>
    <row r="149" spans="1:15" ht="52.5" customHeight="1">
      <c r="A149" s="173" t="s">
        <v>175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72" t="s">
        <v>192</v>
      </c>
      <c r="B154" s="172"/>
      <c r="C154" s="172"/>
      <c r="D154" s="172"/>
      <c r="E154" s="27">
        <f>ПТО!G1</f>
        <v>-673722.73</v>
      </c>
    </row>
    <row r="155" spans="1:15" ht="34.5" customHeight="1">
      <c r="A155" s="174" t="s">
        <v>191</v>
      </c>
      <c r="B155" s="174"/>
      <c r="C155" s="174"/>
      <c r="D155" s="174"/>
      <c r="E155" s="28">
        <f>J13</f>
        <v>239874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56</v>
      </c>
      <c r="I157" s="175" t="s">
        <v>21</v>
      </c>
      <c r="J157" s="175"/>
    </row>
    <row r="158" spans="1:15" ht="29.25" customHeight="1">
      <c r="A158" s="169" t="str">
        <f t="shared" ref="A158:A163" si="14">IF(N158&gt;0,N158,0)</f>
        <v>Техническое обслуживание охранной сигнализации.</v>
      </c>
      <c r="B158" s="169"/>
      <c r="C158" s="169"/>
      <c r="D158" s="169"/>
      <c r="E158" s="169"/>
      <c r="F158" s="170">
        <f t="shared" ref="F158:F163" si="15">IF(ISERROR(VLOOKUP(A158,$A$28:$J$72,6,FALSE)),0,VLOOKUP(A158,$A$28:$J$72,6,FALSE))</f>
        <v>12000</v>
      </c>
      <c r="G158" s="170"/>
      <c r="H158" s="24" t="str">
        <f t="shared" ref="H158:H187" si="16">VLOOKUP(A158,$A$28:$J$72,8,FALSE)</f>
        <v>ежемесячно</v>
      </c>
      <c r="I158" s="171">
        <f t="shared" ref="I158:I161" si="17">VLOOKUP(A158,$A$28:$J$72,9,FALSE)</f>
        <v>12</v>
      </c>
      <c r="J158" s="171"/>
      <c r="M158" s="22" t="s">
        <v>71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9" t="str">
        <f t="shared" si="14"/>
        <v>Техническое освидетельствование лифтов.</v>
      </c>
      <c r="B159" s="169"/>
      <c r="C159" s="169"/>
      <c r="D159" s="169"/>
      <c r="E159" s="169"/>
      <c r="F159" s="170">
        <f t="shared" si="15"/>
        <v>8200</v>
      </c>
      <c r="G159" s="170"/>
      <c r="H159" s="24" t="str">
        <f t="shared" si="16"/>
        <v>ежегодно</v>
      </c>
      <c r="I159" s="171">
        <f t="shared" si="17"/>
        <v>2</v>
      </c>
      <c r="J159" s="171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69" t="str">
        <f t="shared" si="14"/>
        <v>Механизированная уборка и вывоз снега с придомовой территории.</v>
      </c>
      <c r="B160" s="169"/>
      <c r="C160" s="169"/>
      <c r="D160" s="169"/>
      <c r="E160" s="169"/>
      <c r="F160" s="170">
        <f t="shared" si="15"/>
        <v>13436</v>
      </c>
      <c r="G160" s="170"/>
      <c r="H160" s="24" t="str">
        <f t="shared" si="16"/>
        <v>разово</v>
      </c>
      <c r="I160" s="171">
        <f t="shared" si="17"/>
        <v>1</v>
      </c>
      <c r="J160" s="171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9" t="str">
        <f>IF(N161&gt;0,N161,0)</f>
        <v>Замена светильника в лифтовом холле (2 этаж).</v>
      </c>
      <c r="B161" s="169"/>
      <c r="C161" s="169"/>
      <c r="D161" s="169"/>
      <c r="E161" s="169"/>
      <c r="F161" s="170">
        <f t="shared" si="15"/>
        <v>4000</v>
      </c>
      <c r="G161" s="170"/>
      <c r="H161" s="24" t="str">
        <f t="shared" si="16"/>
        <v>разово</v>
      </c>
      <c r="I161" s="171">
        <f t="shared" si="17"/>
        <v>1</v>
      </c>
      <c r="J161" s="171"/>
      <c r="M161" s="22" t="s">
        <v>71</v>
      </c>
      <c r="N161" s="1" t="str">
        <v>Замена светильника в лифтовом холле (2 этаж).</v>
      </c>
    </row>
    <row r="162" spans="1:14" ht="28.5" customHeight="1">
      <c r="A162" s="169" t="str">
        <f t="shared" si="14"/>
        <v>Пуско-наладочные работы на приборе учета тепловой энергии.</v>
      </c>
      <c r="B162" s="169"/>
      <c r="C162" s="169"/>
      <c r="D162" s="169"/>
      <c r="E162" s="169"/>
      <c r="F162" s="170">
        <f t="shared" si="15"/>
        <v>8346</v>
      </c>
      <c r="G162" s="170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71</v>
      </c>
      <c r="N162" s="1" t="str">
        <v>Пуско-наладочные работы на приборе учета тепловой энергии.</v>
      </c>
    </row>
    <row r="163" spans="1:14" ht="28.5" hidden="1" customHeight="1">
      <c r="A163" s="169">
        <f t="shared" si="14"/>
        <v>0</v>
      </c>
      <c r="B163" s="169"/>
      <c r="C163" s="169"/>
      <c r="D163" s="169"/>
      <c r="E163" s="169"/>
      <c r="F163" s="170">
        <f t="shared" si="15"/>
        <v>0</v>
      </c>
      <c r="G163" s="170"/>
      <c r="H163" s="24" t="e">
        <f t="shared" si="16"/>
        <v>#N/A</v>
      </c>
      <c r="I163" s="171" t="e">
        <f>VLOOKUP(A163,$A$28:$J$72,9,FALSE)</f>
        <v>#N/A</v>
      </c>
      <c r="J163" s="171"/>
      <c r="M163" s="22" t="s">
        <v>71</v>
      </c>
      <c r="N163" s="1">
        <v>0</v>
      </c>
    </row>
    <row r="164" spans="1:14" ht="28.5" hidden="1" customHeight="1">
      <c r="A164" s="169">
        <f t="shared" ref="A164:A187" si="18">IF(N164&gt;0,N164,0)</f>
        <v>0</v>
      </c>
      <c r="B164" s="169"/>
      <c r="C164" s="169"/>
      <c r="D164" s="169"/>
      <c r="E164" s="169"/>
      <c r="F164" s="170">
        <f t="shared" ref="F164:F187" si="19">IF(ISERROR(VLOOKUP(A164,$A$28:$J$72,6,FALSE)),0,VLOOKUP(A164,$A$28:$J$72,6,FALSE))</f>
        <v>0</v>
      </c>
      <c r="G164" s="170"/>
      <c r="H164" s="29" t="e">
        <f t="shared" si="16"/>
        <v>#N/A</v>
      </c>
      <c r="I164" s="171" t="e">
        <f t="shared" ref="I164:I187" si="20">VLOOKUP(A164,$A$28:$J$72,9,FALSE)</f>
        <v>#N/A</v>
      </c>
      <c r="J164" s="171"/>
      <c r="M164" s="22" t="s">
        <v>71</v>
      </c>
      <c r="N164" s="1">
        <v>0</v>
      </c>
    </row>
    <row r="165" spans="1:14" ht="28.5" hidden="1" customHeight="1">
      <c r="A165" s="169">
        <f t="shared" si="18"/>
        <v>0</v>
      </c>
      <c r="B165" s="169"/>
      <c r="C165" s="169"/>
      <c r="D165" s="169"/>
      <c r="E165" s="169"/>
      <c r="F165" s="170">
        <f t="shared" si="19"/>
        <v>0</v>
      </c>
      <c r="G165" s="170"/>
      <c r="H165" s="29" t="e">
        <f t="shared" si="16"/>
        <v>#N/A</v>
      </c>
      <c r="I165" s="171" t="e">
        <f t="shared" si="20"/>
        <v>#N/A</v>
      </c>
      <c r="J165" s="171"/>
      <c r="M165" s="22" t="s">
        <v>71</v>
      </c>
      <c r="N165" s="1">
        <v>0</v>
      </c>
    </row>
    <row r="166" spans="1:14" ht="28.5" hidden="1" customHeight="1">
      <c r="A166" s="169">
        <f t="shared" si="18"/>
        <v>0</v>
      </c>
      <c r="B166" s="169"/>
      <c r="C166" s="169"/>
      <c r="D166" s="169"/>
      <c r="E166" s="169"/>
      <c r="F166" s="170">
        <f t="shared" si="19"/>
        <v>0</v>
      </c>
      <c r="G166" s="170"/>
      <c r="H166" s="29" t="e">
        <f t="shared" si="16"/>
        <v>#N/A</v>
      </c>
      <c r="I166" s="171" t="e">
        <f t="shared" si="20"/>
        <v>#N/A</v>
      </c>
      <c r="J166" s="171"/>
      <c r="M166" s="22" t="s">
        <v>71</v>
      </c>
      <c r="N166" s="1">
        <v>0</v>
      </c>
    </row>
    <row r="167" spans="1:14" ht="28.5" hidden="1" customHeight="1">
      <c r="A167" s="169">
        <f t="shared" si="18"/>
        <v>0</v>
      </c>
      <c r="B167" s="169"/>
      <c r="C167" s="169"/>
      <c r="D167" s="169"/>
      <c r="E167" s="169"/>
      <c r="F167" s="170">
        <f t="shared" si="19"/>
        <v>0</v>
      </c>
      <c r="G167" s="170"/>
      <c r="H167" s="29" t="e">
        <f t="shared" si="16"/>
        <v>#N/A</v>
      </c>
      <c r="I167" s="171" t="e">
        <f t="shared" si="20"/>
        <v>#N/A</v>
      </c>
      <c r="J167" s="171"/>
      <c r="M167" s="22" t="s">
        <v>71</v>
      </c>
      <c r="N167" s="1">
        <v>0</v>
      </c>
    </row>
    <row r="168" spans="1:14" ht="28.5" hidden="1" customHeight="1">
      <c r="A168" s="169">
        <f t="shared" si="18"/>
        <v>0</v>
      </c>
      <c r="B168" s="169"/>
      <c r="C168" s="169"/>
      <c r="D168" s="169"/>
      <c r="E168" s="169"/>
      <c r="F168" s="170">
        <f t="shared" si="19"/>
        <v>0</v>
      </c>
      <c r="G168" s="170"/>
      <c r="H168" s="29" t="e">
        <f t="shared" si="16"/>
        <v>#N/A</v>
      </c>
      <c r="I168" s="171" t="e">
        <f t="shared" si="20"/>
        <v>#N/A</v>
      </c>
      <c r="J168" s="171"/>
      <c r="M168" s="22" t="s">
        <v>71</v>
      </c>
      <c r="N168" s="1">
        <v>0</v>
      </c>
    </row>
    <row r="169" spans="1:14" ht="28.5" hidden="1" customHeight="1">
      <c r="A169" s="169">
        <f t="shared" si="18"/>
        <v>0</v>
      </c>
      <c r="B169" s="169"/>
      <c r="C169" s="169"/>
      <c r="D169" s="169"/>
      <c r="E169" s="169"/>
      <c r="F169" s="170">
        <f t="shared" si="19"/>
        <v>0</v>
      </c>
      <c r="G169" s="170"/>
      <c r="H169" s="29" t="e">
        <f t="shared" si="16"/>
        <v>#N/A</v>
      </c>
      <c r="I169" s="171" t="e">
        <f t="shared" si="20"/>
        <v>#N/A</v>
      </c>
      <c r="J169" s="171"/>
      <c r="M169" s="22" t="s">
        <v>71</v>
      </c>
      <c r="N169" s="1">
        <v>0</v>
      </c>
    </row>
    <row r="170" spans="1:14" ht="28.5" hidden="1" customHeight="1">
      <c r="A170" s="169">
        <f t="shared" si="18"/>
        <v>0</v>
      </c>
      <c r="B170" s="169"/>
      <c r="C170" s="169"/>
      <c r="D170" s="169"/>
      <c r="E170" s="169"/>
      <c r="F170" s="170">
        <f t="shared" si="19"/>
        <v>0</v>
      </c>
      <c r="G170" s="170"/>
      <c r="H170" s="29" t="e">
        <f t="shared" si="16"/>
        <v>#N/A</v>
      </c>
      <c r="I170" s="171" t="e">
        <f t="shared" si="20"/>
        <v>#N/A</v>
      </c>
      <c r="J170" s="171"/>
      <c r="M170" s="22" t="s">
        <v>71</v>
      </c>
      <c r="N170" s="1">
        <v>0</v>
      </c>
    </row>
    <row r="171" spans="1:14" ht="28.5" hidden="1" customHeight="1">
      <c r="A171" s="169">
        <f t="shared" si="18"/>
        <v>0</v>
      </c>
      <c r="B171" s="169"/>
      <c r="C171" s="169"/>
      <c r="D171" s="169"/>
      <c r="E171" s="169"/>
      <c r="F171" s="170">
        <f t="shared" si="19"/>
        <v>0</v>
      </c>
      <c r="G171" s="170"/>
      <c r="H171" s="29" t="e">
        <f t="shared" si="16"/>
        <v>#N/A</v>
      </c>
      <c r="I171" s="171" t="e">
        <f t="shared" si="20"/>
        <v>#N/A</v>
      </c>
      <c r="J171" s="171"/>
      <c r="M171" s="22" t="s">
        <v>71</v>
      </c>
      <c r="N171" s="1">
        <v>0</v>
      </c>
    </row>
    <row r="172" spans="1:14" ht="28.5" hidden="1" customHeight="1">
      <c r="A172" s="169">
        <f t="shared" si="18"/>
        <v>0</v>
      </c>
      <c r="B172" s="169"/>
      <c r="C172" s="169"/>
      <c r="D172" s="169"/>
      <c r="E172" s="169"/>
      <c r="F172" s="170">
        <f t="shared" si="19"/>
        <v>0</v>
      </c>
      <c r="G172" s="170"/>
      <c r="H172" s="29" t="e">
        <f t="shared" si="16"/>
        <v>#N/A</v>
      </c>
      <c r="I172" s="171" t="e">
        <f t="shared" si="20"/>
        <v>#N/A</v>
      </c>
      <c r="J172" s="171"/>
      <c r="M172" s="22" t="s">
        <v>71</v>
      </c>
      <c r="N172" s="1">
        <v>0</v>
      </c>
    </row>
    <row r="173" spans="1:14" ht="28.5" hidden="1" customHeight="1">
      <c r="A173" s="169">
        <f t="shared" si="18"/>
        <v>0</v>
      </c>
      <c r="B173" s="169"/>
      <c r="C173" s="169"/>
      <c r="D173" s="169"/>
      <c r="E173" s="169"/>
      <c r="F173" s="170">
        <f t="shared" si="19"/>
        <v>0</v>
      </c>
      <c r="G173" s="170"/>
      <c r="H173" s="29" t="e">
        <f t="shared" si="16"/>
        <v>#N/A</v>
      </c>
      <c r="I173" s="171" t="e">
        <f t="shared" si="20"/>
        <v>#N/A</v>
      </c>
      <c r="J173" s="171"/>
      <c r="M173" s="22" t="s">
        <v>71</v>
      </c>
      <c r="N173" s="1">
        <v>0</v>
      </c>
    </row>
    <row r="174" spans="1:14" ht="28.5" hidden="1" customHeight="1">
      <c r="A174" s="169">
        <f t="shared" si="18"/>
        <v>0</v>
      </c>
      <c r="B174" s="169"/>
      <c r="C174" s="169"/>
      <c r="D174" s="169"/>
      <c r="E174" s="169"/>
      <c r="F174" s="170">
        <f t="shared" si="19"/>
        <v>0</v>
      </c>
      <c r="G174" s="170"/>
      <c r="H174" s="29" t="e">
        <f t="shared" si="16"/>
        <v>#N/A</v>
      </c>
      <c r="I174" s="171" t="e">
        <f t="shared" si="20"/>
        <v>#N/A</v>
      </c>
      <c r="J174" s="171"/>
      <c r="M174" s="22" t="s">
        <v>71</v>
      </c>
      <c r="N174" s="1">
        <v>0</v>
      </c>
    </row>
    <row r="175" spans="1:14" ht="28.5" hidden="1" customHeight="1">
      <c r="A175" s="169">
        <f t="shared" si="18"/>
        <v>0</v>
      </c>
      <c r="B175" s="169"/>
      <c r="C175" s="169"/>
      <c r="D175" s="169"/>
      <c r="E175" s="169"/>
      <c r="F175" s="170">
        <f t="shared" si="19"/>
        <v>0</v>
      </c>
      <c r="G175" s="170"/>
      <c r="H175" s="29" t="e">
        <f t="shared" si="16"/>
        <v>#N/A</v>
      </c>
      <c r="I175" s="171" t="e">
        <f t="shared" si="20"/>
        <v>#N/A</v>
      </c>
      <c r="J175" s="171"/>
      <c r="M175" s="22" t="s">
        <v>71</v>
      </c>
      <c r="N175" s="1">
        <v>0</v>
      </c>
    </row>
    <row r="176" spans="1:14" ht="28.5" hidden="1" customHeight="1">
      <c r="A176" s="169">
        <f t="shared" si="18"/>
        <v>0</v>
      </c>
      <c r="B176" s="169"/>
      <c r="C176" s="169"/>
      <c r="D176" s="169"/>
      <c r="E176" s="169"/>
      <c r="F176" s="170">
        <f t="shared" si="19"/>
        <v>0</v>
      </c>
      <c r="G176" s="170"/>
      <c r="H176" s="29" t="e">
        <f t="shared" si="16"/>
        <v>#N/A</v>
      </c>
      <c r="I176" s="171" t="e">
        <f t="shared" si="20"/>
        <v>#N/A</v>
      </c>
      <c r="J176" s="171"/>
      <c r="M176" s="22" t="s">
        <v>71</v>
      </c>
      <c r="N176" s="1">
        <v>0</v>
      </c>
    </row>
    <row r="177" spans="1:14" ht="28.5" hidden="1" customHeight="1">
      <c r="A177" s="169">
        <f t="shared" si="18"/>
        <v>0</v>
      </c>
      <c r="B177" s="169"/>
      <c r="C177" s="169"/>
      <c r="D177" s="169"/>
      <c r="E177" s="169"/>
      <c r="F177" s="170">
        <f t="shared" si="19"/>
        <v>0</v>
      </c>
      <c r="G177" s="170"/>
      <c r="H177" s="29" t="e">
        <f t="shared" si="16"/>
        <v>#N/A</v>
      </c>
      <c r="I177" s="171" t="e">
        <f t="shared" si="20"/>
        <v>#N/A</v>
      </c>
      <c r="J177" s="171"/>
      <c r="M177" s="22" t="s">
        <v>71</v>
      </c>
      <c r="N177" s="1">
        <v>0</v>
      </c>
    </row>
    <row r="178" spans="1:14" ht="28.5" hidden="1" customHeight="1">
      <c r="A178" s="169">
        <f t="shared" si="18"/>
        <v>0</v>
      </c>
      <c r="B178" s="169"/>
      <c r="C178" s="169"/>
      <c r="D178" s="169"/>
      <c r="E178" s="169"/>
      <c r="F178" s="170">
        <f t="shared" si="19"/>
        <v>0</v>
      </c>
      <c r="G178" s="170"/>
      <c r="H178" s="29" t="e">
        <f t="shared" si="16"/>
        <v>#N/A</v>
      </c>
      <c r="I178" s="171" t="e">
        <f t="shared" si="20"/>
        <v>#N/A</v>
      </c>
      <c r="J178" s="171"/>
      <c r="M178" s="22" t="s">
        <v>71</v>
      </c>
      <c r="N178" s="1">
        <v>0</v>
      </c>
    </row>
    <row r="179" spans="1:14" ht="28.5" hidden="1" customHeight="1">
      <c r="A179" s="169">
        <f t="shared" si="18"/>
        <v>0</v>
      </c>
      <c r="B179" s="169"/>
      <c r="C179" s="169"/>
      <c r="D179" s="169"/>
      <c r="E179" s="169"/>
      <c r="F179" s="170">
        <f t="shared" si="19"/>
        <v>0</v>
      </c>
      <c r="G179" s="170"/>
      <c r="H179" s="29" t="e">
        <f t="shared" si="16"/>
        <v>#N/A</v>
      </c>
      <c r="I179" s="171" t="e">
        <f t="shared" si="20"/>
        <v>#N/A</v>
      </c>
      <c r="J179" s="171"/>
      <c r="M179" s="22" t="s">
        <v>71</v>
      </c>
      <c r="N179" s="1">
        <v>0</v>
      </c>
    </row>
    <row r="180" spans="1:14" ht="28.5" hidden="1" customHeight="1">
      <c r="A180" s="169">
        <f t="shared" si="18"/>
        <v>0</v>
      </c>
      <c r="B180" s="169"/>
      <c r="C180" s="169"/>
      <c r="D180" s="169"/>
      <c r="E180" s="169"/>
      <c r="F180" s="170">
        <f t="shared" si="19"/>
        <v>0</v>
      </c>
      <c r="G180" s="170"/>
      <c r="H180" s="29" t="e">
        <f t="shared" si="16"/>
        <v>#N/A</v>
      </c>
      <c r="I180" s="171" t="e">
        <f t="shared" si="20"/>
        <v>#N/A</v>
      </c>
      <c r="J180" s="171"/>
      <c r="M180" s="22" t="s">
        <v>71</v>
      </c>
      <c r="N180" s="1">
        <v>0</v>
      </c>
    </row>
    <row r="181" spans="1:14" ht="28.5" hidden="1" customHeight="1">
      <c r="A181" s="169">
        <f t="shared" si="18"/>
        <v>0</v>
      </c>
      <c r="B181" s="169"/>
      <c r="C181" s="169"/>
      <c r="D181" s="169"/>
      <c r="E181" s="169"/>
      <c r="F181" s="170">
        <f t="shared" si="19"/>
        <v>0</v>
      </c>
      <c r="G181" s="170"/>
      <c r="H181" s="29" t="e">
        <f t="shared" si="16"/>
        <v>#N/A</v>
      </c>
      <c r="I181" s="171" t="e">
        <f t="shared" si="20"/>
        <v>#N/A</v>
      </c>
      <c r="J181" s="171"/>
      <c r="M181" s="22" t="s">
        <v>71</v>
      </c>
      <c r="N181" s="1">
        <v>0</v>
      </c>
    </row>
    <row r="182" spans="1:14" ht="28.5" hidden="1" customHeight="1">
      <c r="A182" s="169">
        <f t="shared" si="18"/>
        <v>0</v>
      </c>
      <c r="B182" s="169"/>
      <c r="C182" s="169"/>
      <c r="D182" s="169"/>
      <c r="E182" s="169"/>
      <c r="F182" s="170">
        <f t="shared" si="19"/>
        <v>0</v>
      </c>
      <c r="G182" s="170"/>
      <c r="H182" s="29" t="e">
        <f t="shared" si="16"/>
        <v>#N/A</v>
      </c>
      <c r="I182" s="171" t="e">
        <f t="shared" si="20"/>
        <v>#N/A</v>
      </c>
      <c r="J182" s="171"/>
      <c r="M182" s="22" t="s">
        <v>71</v>
      </c>
      <c r="N182" s="1">
        <v>0</v>
      </c>
    </row>
    <row r="183" spans="1:14" ht="28.5" hidden="1" customHeight="1">
      <c r="A183" s="169">
        <f t="shared" si="18"/>
        <v>0</v>
      </c>
      <c r="B183" s="169"/>
      <c r="C183" s="169"/>
      <c r="D183" s="169"/>
      <c r="E183" s="169"/>
      <c r="F183" s="170">
        <f t="shared" si="19"/>
        <v>0</v>
      </c>
      <c r="G183" s="170"/>
      <c r="H183" s="29" t="e">
        <f t="shared" si="16"/>
        <v>#N/A</v>
      </c>
      <c r="I183" s="171" t="e">
        <f t="shared" si="20"/>
        <v>#N/A</v>
      </c>
      <c r="J183" s="171"/>
      <c r="M183" s="22" t="s">
        <v>71</v>
      </c>
      <c r="N183" s="1">
        <v>0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0">
        <f t="shared" si="19"/>
        <v>0</v>
      </c>
      <c r="G184" s="170"/>
      <c r="H184" s="29" t="e">
        <f t="shared" si="16"/>
        <v>#N/A</v>
      </c>
      <c r="I184" s="171" t="e">
        <f t="shared" si="20"/>
        <v>#N/A</v>
      </c>
      <c r="J184" s="171"/>
      <c r="M184" s="22" t="s">
        <v>71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0">
        <f t="shared" si="19"/>
        <v>0</v>
      </c>
      <c r="G185" s="170"/>
      <c r="H185" s="29" t="e">
        <f t="shared" si="16"/>
        <v>#N/A</v>
      </c>
      <c r="I185" s="171" t="e">
        <f t="shared" si="20"/>
        <v>#N/A</v>
      </c>
      <c r="J185" s="171"/>
      <c r="M185" s="22" t="s">
        <v>71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0">
        <f t="shared" si="19"/>
        <v>0</v>
      </c>
      <c r="G186" s="170"/>
      <c r="H186" s="29" t="e">
        <f t="shared" si="16"/>
        <v>#N/A</v>
      </c>
      <c r="I186" s="171" t="e">
        <f t="shared" si="20"/>
        <v>#N/A</v>
      </c>
      <c r="J186" s="171"/>
      <c r="M186" s="22" t="s">
        <v>71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0">
        <f t="shared" si="19"/>
        <v>0</v>
      </c>
      <c r="G187" s="170"/>
      <c r="H187" s="29" t="e">
        <f t="shared" si="16"/>
        <v>#N/A</v>
      </c>
      <c r="I187" s="171" t="e">
        <f t="shared" si="20"/>
        <v>#N/A</v>
      </c>
      <c r="J187" s="171"/>
      <c r="M187" s="22" t="s">
        <v>71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72" t="s">
        <v>190</v>
      </c>
      <c r="B190" s="172"/>
      <c r="C190" s="172"/>
      <c r="D190" s="172"/>
      <c r="E190" s="27">
        <f>SUM(F158:G187)</f>
        <v>45982</v>
      </c>
    </row>
    <row r="191" spans="1:14" ht="51.75" customHeight="1">
      <c r="A191" s="172" t="s">
        <v>189</v>
      </c>
      <c r="B191" s="172"/>
      <c r="C191" s="172"/>
      <c r="D191" s="172"/>
      <c r="E191" s="27">
        <f>E190+E154-E155</f>
        <v>-867614.73</v>
      </c>
    </row>
    <row r="192" spans="1:14">
      <c r="A192" s="104" t="s">
        <v>172</v>
      </c>
    </row>
    <row r="193" spans="1:10" ht="62.25" customHeight="1">
      <c r="A193" s="197" t="s">
        <v>188</v>
      </c>
      <c r="B193" s="197"/>
      <c r="C193" s="197"/>
      <c r="D193" s="197"/>
      <c r="E193" s="197"/>
      <c r="F193" s="197"/>
      <c r="G193" s="197"/>
      <c r="H193" s="197"/>
      <c r="I193" s="197"/>
      <c r="J193" s="197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49">
        <f>ПТО!G12</f>
        <v>1200</v>
      </c>
      <c r="I194" s="50" t="s">
        <v>73</v>
      </c>
    </row>
    <row r="195" spans="1:10" ht="18.75" customHeight="1">
      <c r="A195" s="196" t="str">
        <f>ПТО!F13</f>
        <v xml:space="preserve">  -  техническое освидетельствование лифтов</v>
      </c>
      <c r="B195" s="196"/>
      <c r="C195" s="196"/>
      <c r="D195" s="196"/>
      <c r="E195" s="196"/>
      <c r="F195" s="196"/>
      <c r="G195" s="196"/>
      <c r="H195" s="49">
        <f>ПТО!G13</f>
        <v>8200</v>
      </c>
      <c r="I195" s="50" t="s">
        <v>73</v>
      </c>
    </row>
    <row r="196" spans="1:10" ht="18.75" customHeight="1">
      <c r="A196" s="196" t="str">
        <f>ПТО!F14</f>
        <v xml:space="preserve">  -  техническое обслуживание охранной сигнализации</v>
      </c>
      <c r="B196" s="196"/>
      <c r="C196" s="196"/>
      <c r="D196" s="196"/>
      <c r="E196" s="196"/>
      <c r="F196" s="196"/>
      <c r="G196" s="196"/>
      <c r="H196" s="49">
        <f>ПТО!G14</f>
        <v>12000</v>
      </c>
      <c r="I196" s="50" t="s">
        <v>73</v>
      </c>
    </row>
    <row r="197" spans="1:10" ht="18.75" customHeight="1">
      <c r="A197" s="196" t="str">
        <f>ПТО!F15</f>
        <v xml:space="preserve">  -  ремонт подъезда (со стороны незадымляемой лестницы)</v>
      </c>
      <c r="B197" s="196"/>
      <c r="C197" s="196"/>
      <c r="D197" s="196"/>
      <c r="E197" s="196"/>
      <c r="F197" s="196"/>
      <c r="G197" s="196"/>
      <c r="H197" s="49">
        <f>ПТО!G15</f>
        <v>650000</v>
      </c>
      <c r="I197" s="50" t="s">
        <v>73</v>
      </c>
    </row>
    <row r="198" spans="1:10" ht="18.75" customHeight="1">
      <c r="A198" s="196" t="str">
        <f>ПТО!F16</f>
        <v xml:space="preserve">  -  благоустройство придомовой территории</v>
      </c>
      <c r="B198" s="196"/>
      <c r="C198" s="196"/>
      <c r="D198" s="196"/>
      <c r="E198" s="196"/>
      <c r="F198" s="196"/>
      <c r="G198" s="196"/>
      <c r="H198" s="49">
        <f>ПТО!G16</f>
        <v>5000</v>
      </c>
      <c r="I198" s="52" t="s">
        <v>73</v>
      </c>
    </row>
    <row r="199" spans="1:10" ht="18.75" hidden="1" customHeight="1">
      <c r="A199" s="196">
        <f>ПТО!F17</f>
        <v>0</v>
      </c>
      <c r="B199" s="196"/>
      <c r="C199" s="196"/>
      <c r="D199" s="196"/>
      <c r="E199" s="196"/>
      <c r="F199" s="196"/>
      <c r="G199" s="196"/>
      <c r="H199" s="49">
        <f>ПТО!G17</f>
        <v>0</v>
      </c>
      <c r="I199" s="50" t="s">
        <v>73</v>
      </c>
    </row>
    <row r="200" spans="1:10" hidden="1">
      <c r="A200" s="196">
        <f>ПТО!F18</f>
        <v>0</v>
      </c>
      <c r="B200" s="196"/>
      <c r="C200" s="196"/>
      <c r="D200" s="196"/>
      <c r="E200" s="196"/>
      <c r="F200" s="196"/>
      <c r="G200" s="196"/>
      <c r="H200" s="49">
        <f>ПТО!G18</f>
        <v>0</v>
      </c>
      <c r="I200" s="50" t="s">
        <v>73</v>
      </c>
    </row>
    <row r="201" spans="1:10" hidden="1">
      <c r="A201" s="196">
        <f>ПТО!F19</f>
        <v>0</v>
      </c>
      <c r="B201" s="196"/>
      <c r="C201" s="196"/>
      <c r="D201" s="196"/>
      <c r="E201" s="196"/>
      <c r="F201" s="196"/>
      <c r="G201" s="196"/>
      <c r="H201" s="49">
        <f>ПТО!G19</f>
        <v>0</v>
      </c>
      <c r="I201" s="50" t="s">
        <v>73</v>
      </c>
    </row>
    <row r="202" spans="1:10" hidden="1">
      <c r="A202" s="196">
        <f>ПТО!F20</f>
        <v>0</v>
      </c>
      <c r="B202" s="196"/>
      <c r="C202" s="196"/>
      <c r="D202" s="196"/>
      <c r="E202" s="196"/>
      <c r="F202" s="196"/>
      <c r="G202" s="196"/>
      <c r="H202" s="49">
        <f>ПТО!G20</f>
        <v>0</v>
      </c>
      <c r="I202" s="50" t="s">
        <v>73</v>
      </c>
    </row>
    <row r="203" spans="1:10" hidden="1">
      <c r="A203" s="196">
        <f>ПТО!F21</f>
        <v>0</v>
      </c>
      <c r="B203" s="196"/>
      <c r="C203" s="196"/>
      <c r="D203" s="196"/>
      <c r="E203" s="196"/>
      <c r="F203" s="196"/>
      <c r="G203" s="196"/>
      <c r="H203" s="49">
        <f>ПТО!G21</f>
        <v>0</v>
      </c>
      <c r="I203" s="50" t="s">
        <v>73</v>
      </c>
    </row>
    <row r="204" spans="1:10" hidden="1">
      <c r="A204" s="196">
        <f>ПТО!F22</f>
        <v>0</v>
      </c>
      <c r="B204" s="196"/>
      <c r="C204" s="196"/>
      <c r="D204" s="196"/>
      <c r="E204" s="196"/>
      <c r="F204" s="196"/>
      <c r="G204" s="196"/>
      <c r="H204" s="49">
        <f>ПТО!G22</f>
        <v>0</v>
      </c>
      <c r="I204" s="50" t="s">
        <v>73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49">
        <f>ПТО!G23</f>
        <v>0</v>
      </c>
      <c r="I205" s="50" t="s">
        <v>73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49">
        <f>ПТО!G24</f>
        <v>0</v>
      </c>
      <c r="I206" s="50" t="s">
        <v>73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49">
        <f>ПТО!G25</f>
        <v>0</v>
      </c>
      <c r="I207" s="50" t="s">
        <v>73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49">
        <f>ПТО!G26</f>
        <v>0</v>
      </c>
      <c r="I208" s="50" t="s">
        <v>73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49">
        <f>ПТО!G27</f>
        <v>0</v>
      </c>
      <c r="I209" s="50" t="s">
        <v>73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49">
        <f>ПТО!G28</f>
        <v>0</v>
      </c>
      <c r="I210" s="50" t="s">
        <v>73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49">
        <f>ПТО!G29</f>
        <v>0</v>
      </c>
      <c r="I211" s="50" t="s">
        <v>73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49">
        <f>ПТО!G30</f>
        <v>0</v>
      </c>
      <c r="I212" s="50" t="s">
        <v>73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676400</v>
      </c>
      <c r="I214" s="56" t="s">
        <v>75</v>
      </c>
    </row>
  </sheetData>
  <sheetProtection algorithmName="SHA-512" hashValue="5lv8+i4lmSne081PxuNZAtVrOxVUDZ6Sv/q/IeCudmjniPeeNaMOUnbSTDiHTo0DOLFmOGDQzbP5FUyw4eJ11g==" saltValue="dPhg8TkFi6v3dK3O34CFb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C10" sqref="C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32.5703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6" t="s">
        <v>19</v>
      </c>
      <c r="B1" s="146" t="s">
        <v>56</v>
      </c>
      <c r="C1" s="146" t="s">
        <v>21</v>
      </c>
      <c r="D1" s="146" t="s">
        <v>20</v>
      </c>
      <c r="E1" s="147"/>
      <c r="F1" s="100" t="s">
        <v>192</v>
      </c>
      <c r="G1" s="101">
        <f>-673722.73</f>
        <v>-673722.73</v>
      </c>
    </row>
    <row r="2" spans="1:12" ht="18.75" customHeight="1">
      <c r="A2" s="153" t="s">
        <v>177</v>
      </c>
      <c r="B2" s="154" t="s">
        <v>179</v>
      </c>
      <c r="C2" s="154">
        <v>12</v>
      </c>
      <c r="D2" s="155">
        <v>12000</v>
      </c>
      <c r="E2" s="156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7" t="s">
        <v>178</v>
      </c>
      <c r="B3" s="158" t="s">
        <v>180</v>
      </c>
      <c r="C3" s="158">
        <v>2</v>
      </c>
      <c r="D3" s="159">
        <v>8200</v>
      </c>
      <c r="E3" s="156" t="s">
        <v>199</v>
      </c>
      <c r="F3" s="30"/>
      <c r="G3" s="30"/>
      <c r="L3" s="33" t="str">
        <f t="shared" si="0"/>
        <v>ТР</v>
      </c>
    </row>
    <row r="4" spans="1:12" ht="32.25" customHeight="1">
      <c r="A4" s="160" t="s">
        <v>187</v>
      </c>
      <c r="B4" s="161" t="s">
        <v>181</v>
      </c>
      <c r="C4" s="162">
        <v>1</v>
      </c>
      <c r="D4" s="163">
        <v>13436</v>
      </c>
      <c r="E4" s="150" t="s">
        <v>196</v>
      </c>
      <c r="F4" s="30"/>
      <c r="G4" s="30"/>
      <c r="L4" s="33" t="str">
        <f t="shared" si="0"/>
        <v>ТР</v>
      </c>
    </row>
    <row r="5" spans="1:12" ht="18.75" customHeight="1">
      <c r="A5" s="164" t="s">
        <v>193</v>
      </c>
      <c r="B5" s="165" t="s">
        <v>181</v>
      </c>
      <c r="C5" s="166">
        <v>1</v>
      </c>
      <c r="D5" s="167">
        <v>4000</v>
      </c>
      <c r="E5" s="168" t="s">
        <v>200</v>
      </c>
      <c r="F5" s="44"/>
      <c r="G5" s="44"/>
      <c r="K5" s="46"/>
      <c r="L5" s="33" t="str">
        <f t="shared" si="0"/>
        <v>ТР</v>
      </c>
    </row>
    <row r="6" spans="1:12" ht="18.75" customHeight="1">
      <c r="A6" s="151" t="s">
        <v>194</v>
      </c>
      <c r="B6" s="152" t="s">
        <v>181</v>
      </c>
      <c r="C6" s="152">
        <v>1</v>
      </c>
      <c r="D6" s="150">
        <v>8346</v>
      </c>
      <c r="E6" s="150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0"/>
      <c r="B7" s="141"/>
      <c r="C7" s="125"/>
      <c r="D7" s="139"/>
      <c r="E7" s="142"/>
      <c r="F7" s="45"/>
      <c r="G7" s="45"/>
      <c r="K7" s="46"/>
      <c r="L7" s="33">
        <f t="shared" si="0"/>
        <v>0</v>
      </c>
    </row>
    <row r="8" spans="1:12" ht="18.75" customHeight="1">
      <c r="A8" s="144"/>
      <c r="B8" s="141"/>
      <c r="C8" s="125"/>
      <c r="D8" s="139"/>
      <c r="E8" s="145"/>
      <c r="F8" s="45"/>
      <c r="G8" s="45"/>
      <c r="K8" s="43"/>
      <c r="L8" s="33">
        <f t="shared" si="0"/>
        <v>0</v>
      </c>
    </row>
    <row r="9" spans="1:12">
      <c r="A9" s="129"/>
      <c r="B9" s="125"/>
      <c r="C9" s="130"/>
      <c r="D9" s="131"/>
      <c r="E9" s="132"/>
      <c r="F9" s="44"/>
      <c r="G9" s="44"/>
      <c r="K9" s="43"/>
      <c r="L9" s="33">
        <f t="shared" si="0"/>
        <v>0</v>
      </c>
    </row>
    <row r="10" spans="1:12">
      <c r="A10" s="126"/>
      <c r="B10" s="127"/>
      <c r="C10" s="128"/>
      <c r="D10" s="46"/>
      <c r="E10" s="120"/>
      <c r="F10" s="120"/>
      <c r="L10" s="33">
        <f t="shared" si="0"/>
        <v>0</v>
      </c>
    </row>
    <row r="11" spans="1:12" ht="94.5">
      <c r="A11" s="133"/>
      <c r="B11" s="134"/>
      <c r="C11" s="124"/>
      <c r="D11" s="46"/>
      <c r="E11" s="135"/>
      <c r="F11" s="111" t="s">
        <v>188</v>
      </c>
      <c r="G11" s="111"/>
      <c r="L11" s="33">
        <f t="shared" si="0"/>
        <v>0</v>
      </c>
    </row>
    <row r="12" spans="1:12" ht="31.5">
      <c r="A12" s="126"/>
      <c r="B12" s="127"/>
      <c r="C12" s="128"/>
      <c r="D12" s="46"/>
      <c r="E12" s="120"/>
      <c r="F12" s="112" t="s">
        <v>72</v>
      </c>
      <c r="G12" s="113">
        <v>1200</v>
      </c>
      <c r="L12" s="33">
        <f t="shared" si="0"/>
        <v>0</v>
      </c>
    </row>
    <row r="13" spans="1:12" ht="31.5">
      <c r="A13" s="133"/>
      <c r="B13" s="134"/>
      <c r="C13" s="124"/>
      <c r="D13" s="46"/>
      <c r="E13" s="135"/>
      <c r="F13" s="112" t="s">
        <v>184</v>
      </c>
      <c r="G13" s="113">
        <v>8200</v>
      </c>
      <c r="L13" s="33">
        <f t="shared" si="0"/>
        <v>0</v>
      </c>
    </row>
    <row r="14" spans="1:12" ht="31.5">
      <c r="A14" s="121"/>
      <c r="B14" s="119"/>
      <c r="C14" s="119"/>
      <c r="D14" s="118"/>
      <c r="E14" s="122"/>
      <c r="F14" s="112" t="s">
        <v>183</v>
      </c>
      <c r="G14" s="114">
        <v>12000</v>
      </c>
      <c r="L14" s="33">
        <f t="shared" si="0"/>
        <v>0</v>
      </c>
    </row>
    <row r="15" spans="1:12" ht="31.5">
      <c r="A15" s="30"/>
      <c r="F15" s="112" t="s">
        <v>185</v>
      </c>
      <c r="G15" s="114">
        <v>650000</v>
      </c>
      <c r="L15" s="33">
        <f t="shared" si="0"/>
        <v>0</v>
      </c>
    </row>
    <row r="16" spans="1:12" ht="31.5">
      <c r="A16" s="30"/>
      <c r="F16" s="123" t="s">
        <v>186</v>
      </c>
      <c r="G16" s="113">
        <v>5000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 ht="15.75">
      <c r="A18" s="30"/>
      <c r="F18" s="123"/>
      <c r="G18" s="11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 ht="15.75">
      <c r="A20" s="30"/>
      <c r="F20" s="123"/>
      <c r="G20" s="11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F39*G39*'Абонентский отдел'!$F$1</f>
        <v>292166.53200000001</v>
      </c>
      <c r="C39" s="38" t="s">
        <v>67</v>
      </c>
      <c r="D39" s="39">
        <v>12</v>
      </c>
      <c r="E39" s="34"/>
      <c r="F39" s="148">
        <f>5.66+0.43</f>
        <v>6.09</v>
      </c>
      <c r="G39" s="31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292166.53200000001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f>F40*G40*'Абонентский отдел'!$F$1</f>
        <v>135768.68400000001</v>
      </c>
      <c r="C40" s="38" t="s">
        <v>67</v>
      </c>
      <c r="D40" s="39">
        <v>12</v>
      </c>
      <c r="E40" s="34"/>
      <c r="F40" s="148">
        <v>2.83</v>
      </c>
      <c r="G40" s="31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135768.68400000001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195</v>
      </c>
      <c r="B41" s="38">
        <f>F41*G41*'Абонентский отдел'!$F$1</f>
        <v>75320.436000000002</v>
      </c>
      <c r="C41" s="38" t="s">
        <v>68</v>
      </c>
      <c r="D41" s="39">
        <v>12</v>
      </c>
      <c r="E41" s="34"/>
      <c r="F41" s="148">
        <v>1.57</v>
      </c>
      <c r="G41" s="31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75320.436000000002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F42*G42*'Абонентский отдел'!$F$1</f>
        <v>57569.759999999995</v>
      </c>
      <c r="C42" s="38" t="s">
        <v>67</v>
      </c>
      <c r="D42" s="39">
        <v>12</v>
      </c>
      <c r="E42" s="34"/>
      <c r="F42" s="149">
        <v>1.2</v>
      </c>
      <c r="G42" s="31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57569.759999999995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F43" s="148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F44*G44*'Абонентский отдел'!$F$1</f>
        <v>15351.936</v>
      </c>
      <c r="C44" s="38" t="s">
        <v>69</v>
      </c>
      <c r="D44" s="39">
        <v>12</v>
      </c>
      <c r="E44" s="34"/>
      <c r="F44" s="149">
        <v>0.32</v>
      </c>
      <c r="G44" s="31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15351.936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F45*G45*'Абонентский отдел'!$F$1</f>
        <v>104105.31600000001</v>
      </c>
      <c r="C45" s="38" t="s">
        <v>68</v>
      </c>
      <c r="D45" s="39">
        <v>12</v>
      </c>
      <c r="E45" s="34"/>
      <c r="F45" s="149">
        <v>2.17</v>
      </c>
      <c r="G45" s="31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104105.31600000001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f>F46*G46*'Абонентский отдел'!$F$1</f>
        <v>239874</v>
      </c>
      <c r="C46" s="38" t="s">
        <v>67</v>
      </c>
      <c r="D46" s="48">
        <v>12</v>
      </c>
      <c r="F46" s="149">
        <v>5</v>
      </c>
      <c r="G46" s="31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239874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36"/>
      <c r="C47" s="137"/>
      <c r="D47" s="48"/>
      <c r="E47" s="136"/>
      <c r="F47" s="136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8"/>
      <c r="F52" s="138"/>
      <c r="G52" s="138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8"/>
      <c r="F53" s="136"/>
      <c r="G53" s="138"/>
      <c r="H53" s="138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8"/>
      <c r="F54" s="138"/>
      <c r="G54" s="138"/>
      <c r="H54" s="138"/>
    </row>
    <row r="55" spans="5:16">
      <c r="E55" s="138"/>
      <c r="F55" s="138"/>
      <c r="G55" s="138"/>
      <c r="H55" s="138"/>
    </row>
    <row r="56" spans="5:16">
      <c r="E56" s="138"/>
      <c r="F56" s="138"/>
      <c r="G56" s="138"/>
      <c r="H56" s="138"/>
    </row>
    <row r="57" spans="5:16">
      <c r="E57" s="138"/>
      <c r="F57" s="138"/>
      <c r="G57" s="138"/>
      <c r="H57" s="138"/>
    </row>
    <row r="58" spans="5:16">
      <c r="E58" s="138"/>
      <c r="F58" s="138"/>
      <c r="G58" s="138"/>
      <c r="H58" s="138"/>
    </row>
    <row r="59" spans="5:16">
      <c r="E59" s="138"/>
      <c r="F59" s="136"/>
      <c r="G59" s="138"/>
      <c r="H59" s="138"/>
    </row>
    <row r="60" spans="5:16">
      <c r="E60" s="138"/>
      <c r="F60" s="138"/>
      <c r="G60" s="138"/>
      <c r="H60" s="138"/>
    </row>
    <row r="61" spans="5:16">
      <c r="E61" s="138"/>
      <c r="F61" s="138"/>
      <c r="G61" s="138"/>
      <c r="H61" s="138"/>
    </row>
    <row r="62" spans="5:16">
      <c r="E62" s="138"/>
      <c r="F62" s="138"/>
      <c r="G62" s="138"/>
      <c r="H62" s="138"/>
    </row>
    <row r="63" spans="5:16">
      <c r="E63" s="138"/>
      <c r="F63" s="136"/>
      <c r="G63" s="138"/>
      <c r="H63" s="138"/>
    </row>
    <row r="64" spans="5:16">
      <c r="E64" s="138"/>
      <c r="F64" s="138"/>
      <c r="G64" s="138"/>
      <c r="H64" s="138"/>
    </row>
    <row r="65" spans="4:13" ht="18.75" customHeight="1">
      <c r="E65" s="138"/>
      <c r="F65" s="138"/>
      <c r="G65" s="138"/>
      <c r="H65" s="138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G0rz99+EXVJVfbSaYe7vHNXWt91VK4qMjf5Xwt0xdNm3dI5HoSXh3FQCOZ5G20vD1dNZlknJG4eW1DSA8BkLAQ==" saltValue="uqNBV0Q0Yq45u49burLzX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31" sqref="E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182</v>
      </c>
      <c r="F1" s="60">
        <v>3997.9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130984.1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1234292.69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994418.69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F1*5*12</f>
        <v>239874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1260548.97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1260548.97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1260548.97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104727.82000000007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103</v>
      </c>
      <c r="B27" s="75" t="s">
        <v>4</v>
      </c>
      <c r="C27" s="86">
        <v>168978.31</v>
      </c>
      <c r="D27" s="81" t="s">
        <v>59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104</v>
      </c>
      <c r="B28" s="75" t="s">
        <v>16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106</v>
      </c>
      <c r="B30" s="75" t="s">
        <v>18</v>
      </c>
      <c r="C30" s="86">
        <f>C27+E45+E53+E61+E69+E77-C47-C55-C63-C71-C79</f>
        <v>80425.870000000228</v>
      </c>
      <c r="D30" s="81" t="s">
        <v>65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9"/>
      <c r="N34" s="63"/>
    </row>
    <row r="35" spans="1:15" ht="18.75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118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165</v>
      </c>
      <c r="G37" s="66"/>
      <c r="H37" s="66"/>
      <c r="I37" s="66"/>
      <c r="L37" s="63"/>
      <c r="M37" s="198"/>
      <c r="N37" s="63"/>
      <c r="O37" s="63"/>
    </row>
    <row r="38" spans="1:15" ht="18.75" customHeight="1">
      <c r="A38" s="70" t="s">
        <v>111</v>
      </c>
      <c r="B38" s="78" t="s">
        <v>36</v>
      </c>
      <c r="C38" s="90"/>
      <c r="D38" s="94" t="s">
        <v>163</v>
      </c>
      <c r="E38" s="68"/>
      <c r="G38" s="67"/>
      <c r="H38" s="67"/>
      <c r="L38" s="63"/>
      <c r="M38" s="198"/>
      <c r="N38" s="63"/>
      <c r="O38" s="63"/>
    </row>
    <row r="39" spans="1:15" ht="18.75" customHeight="1">
      <c r="A39" s="70" t="s">
        <v>112</v>
      </c>
      <c r="B39" s="78" t="s">
        <v>37</v>
      </c>
      <c r="C39" s="91"/>
      <c r="D39" s="94" t="s">
        <v>164</v>
      </c>
      <c r="E39" s="143"/>
      <c r="G39" s="67"/>
      <c r="H39" s="67"/>
      <c r="L39" s="63"/>
      <c r="M39" s="198"/>
      <c r="N39" s="63"/>
      <c r="O39" s="63"/>
    </row>
    <row r="40" spans="1:15" ht="18.75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143"/>
      <c r="G40" s="67"/>
      <c r="H40" s="67"/>
      <c r="L40" s="63"/>
      <c r="M40" s="198"/>
      <c r="N40" s="63"/>
      <c r="O40" s="63"/>
    </row>
    <row r="41" spans="1:15" ht="18.75" customHeight="1">
      <c r="A41" s="70" t="s">
        <v>114</v>
      </c>
      <c r="B41" s="78" t="s">
        <v>39</v>
      </c>
      <c r="C41" s="93">
        <f>E37</f>
        <v>0</v>
      </c>
      <c r="D41" s="80" t="s">
        <v>58</v>
      </c>
      <c r="E41" s="143"/>
      <c r="G41" s="67"/>
      <c r="H41" s="67"/>
      <c r="L41" s="63"/>
      <c r="M41" s="198"/>
      <c r="N41" s="63"/>
      <c r="O41" s="63"/>
    </row>
    <row r="42" spans="1:15" ht="18.75" customHeight="1">
      <c r="A42" s="70" t="s">
        <v>115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98"/>
      <c r="N42" s="63"/>
      <c r="O42" s="63"/>
    </row>
    <row r="43" spans="1:15" ht="18.75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8"/>
      <c r="N43" s="63"/>
      <c r="O43" s="63"/>
    </row>
    <row r="44" spans="1:15" ht="30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8"/>
      <c r="N44" s="63"/>
      <c r="O44" s="63"/>
    </row>
    <row r="45" spans="1:15" ht="18.75">
      <c r="A45" s="73" t="s">
        <v>119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123851.46</v>
      </c>
      <c r="F45" s="94" t="s">
        <v>165</v>
      </c>
      <c r="G45" s="66"/>
      <c r="H45" s="66"/>
      <c r="L45" s="63"/>
      <c r="M45" s="198"/>
      <c r="N45" s="63"/>
      <c r="O45" s="63"/>
    </row>
    <row r="46" spans="1:15" ht="18.75" customHeight="1">
      <c r="A46" s="73" t="s">
        <v>120</v>
      </c>
      <c r="B46" s="78" t="s">
        <v>36</v>
      </c>
      <c r="C46" s="90">
        <v>7764.98</v>
      </c>
      <c r="D46" s="94" t="s">
        <v>166</v>
      </c>
      <c r="E46" s="68"/>
      <c r="G46" s="67"/>
      <c r="H46" s="67"/>
      <c r="L46" s="63"/>
      <c r="M46" s="198"/>
      <c r="N46" s="63"/>
      <c r="O46" s="63"/>
    </row>
    <row r="47" spans="1:15" ht="18.75" customHeight="1">
      <c r="A47" s="73" t="s">
        <v>121</v>
      </c>
      <c r="B47" s="78" t="s">
        <v>37</v>
      </c>
      <c r="C47" s="91">
        <v>125269.25</v>
      </c>
      <c r="D47" s="94" t="s">
        <v>164</v>
      </c>
      <c r="E47" s="68"/>
      <c r="G47" s="67"/>
      <c r="H47" s="67"/>
      <c r="L47" s="63"/>
      <c r="M47" s="198"/>
      <c r="N47" s="63"/>
      <c r="O47" s="63"/>
    </row>
    <row r="48" spans="1:15" ht="18.75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8"/>
      <c r="N48" s="63"/>
      <c r="O48" s="63"/>
    </row>
    <row r="49" spans="1:15" ht="18.75" customHeight="1">
      <c r="A49" s="73" t="s">
        <v>123</v>
      </c>
      <c r="B49" s="78" t="s">
        <v>39</v>
      </c>
      <c r="C49" s="93">
        <f>E45</f>
        <v>123851.46</v>
      </c>
      <c r="D49" s="80" t="s">
        <v>58</v>
      </c>
      <c r="E49" s="68"/>
      <c r="G49" s="67"/>
      <c r="H49" s="67"/>
      <c r="L49" s="63"/>
      <c r="M49" s="198"/>
      <c r="N49" s="63"/>
      <c r="O49" s="63"/>
    </row>
    <row r="50" spans="1:15" ht="18.75" customHeight="1">
      <c r="A50" s="73" t="s">
        <v>124</v>
      </c>
      <c r="B50" s="78" t="s">
        <v>40</v>
      </c>
      <c r="C50" s="93">
        <f>E45</f>
        <v>123851.46</v>
      </c>
      <c r="D50" s="80" t="s">
        <v>58</v>
      </c>
      <c r="E50" s="68"/>
      <c r="G50" s="67"/>
      <c r="H50" s="67"/>
      <c r="L50" s="63"/>
      <c r="M50" s="198"/>
      <c r="N50" s="63"/>
      <c r="O50" s="63"/>
    </row>
    <row r="51" spans="1:15" ht="18.75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8"/>
      <c r="N51" s="63"/>
      <c r="O51" s="63"/>
    </row>
    <row r="52" spans="1:15" ht="29.25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8"/>
      <c r="N52" s="63"/>
      <c r="O52" s="63"/>
    </row>
    <row r="53" spans="1:15" ht="18.75">
      <c r="A53" s="73" t="s">
        <v>127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128869.85</v>
      </c>
      <c r="F53" s="94" t="s">
        <v>165</v>
      </c>
      <c r="G53" s="66"/>
      <c r="H53" s="66"/>
      <c r="L53" s="63"/>
      <c r="M53" s="198"/>
      <c r="N53" s="63"/>
      <c r="O53" s="63"/>
    </row>
    <row r="54" spans="1:15" ht="18.75" customHeight="1">
      <c r="A54" s="73" t="s">
        <v>128</v>
      </c>
      <c r="B54" s="75" t="s">
        <v>36</v>
      </c>
      <c r="C54" s="98">
        <v>6646.2</v>
      </c>
      <c r="D54" s="94" t="s">
        <v>166</v>
      </c>
      <c r="E54" s="69"/>
      <c r="F54" s="89"/>
      <c r="G54" s="64"/>
      <c r="H54" s="64"/>
      <c r="L54" s="63"/>
      <c r="M54" s="198"/>
      <c r="N54" s="63"/>
      <c r="O54" s="63"/>
    </row>
    <row r="55" spans="1:15" ht="18.75" customHeight="1">
      <c r="A55" s="73" t="s">
        <v>129</v>
      </c>
      <c r="B55" s="75" t="s">
        <v>37</v>
      </c>
      <c r="C55" s="86">
        <v>132480.60999999999</v>
      </c>
      <c r="D55" s="94" t="s">
        <v>164</v>
      </c>
      <c r="E55" s="69"/>
      <c r="G55" s="64"/>
      <c r="H55" s="64"/>
      <c r="L55" s="63"/>
      <c r="M55" s="198"/>
      <c r="N55" s="63"/>
      <c r="O55" s="63"/>
    </row>
    <row r="56" spans="1:15" ht="18.75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8"/>
      <c r="N56" s="63"/>
      <c r="O56" s="63"/>
    </row>
    <row r="57" spans="1:15" ht="18.75" customHeight="1">
      <c r="A57" s="73" t="s">
        <v>131</v>
      </c>
      <c r="B57" s="75" t="s">
        <v>39</v>
      </c>
      <c r="C57" s="93">
        <f>E53</f>
        <v>128869.85</v>
      </c>
      <c r="D57" s="80" t="s">
        <v>58</v>
      </c>
      <c r="E57" s="69"/>
      <c r="G57" s="64"/>
      <c r="H57" s="64"/>
      <c r="L57" s="63"/>
      <c r="M57" s="198"/>
      <c r="N57" s="63"/>
      <c r="O57" s="63"/>
    </row>
    <row r="58" spans="1:15" ht="18.75" customHeight="1">
      <c r="A58" s="73" t="s">
        <v>132</v>
      </c>
      <c r="B58" s="75" t="s">
        <v>40</v>
      </c>
      <c r="C58" s="93">
        <f>E53</f>
        <v>128869.85</v>
      </c>
      <c r="D58" s="80" t="s">
        <v>58</v>
      </c>
      <c r="E58" s="69"/>
      <c r="G58" s="64"/>
      <c r="H58" s="64"/>
      <c r="L58" s="63"/>
      <c r="M58" s="198"/>
      <c r="N58" s="63"/>
      <c r="O58" s="63"/>
    </row>
    <row r="59" spans="1:15" ht="18.75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8"/>
      <c r="N59" s="63"/>
      <c r="O59" s="63"/>
    </row>
    <row r="60" spans="1:15" ht="33.75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8"/>
      <c r="N60" s="63"/>
      <c r="O60" s="63"/>
    </row>
    <row r="61" spans="1:15" ht="15.75">
      <c r="A61" s="73" t="s">
        <v>135</v>
      </c>
      <c r="B61" s="77" t="s">
        <v>76</v>
      </c>
      <c r="C61" s="96" t="str">
        <f>IF(E61&gt;0,"Предоставляется",0)</f>
        <v>Предоставляется</v>
      </c>
      <c r="D61" s="96" t="s">
        <v>54</v>
      </c>
      <c r="E61" s="95">
        <v>168504.06</v>
      </c>
      <c r="F61" s="94" t="s">
        <v>165</v>
      </c>
      <c r="G61" s="66"/>
      <c r="H61" s="66"/>
    </row>
    <row r="62" spans="1:15" ht="15.75" customHeight="1">
      <c r="A62" s="73" t="s">
        <v>136</v>
      </c>
      <c r="B62" s="75" t="s">
        <v>36</v>
      </c>
      <c r="C62" s="98">
        <v>284.70999999999998</v>
      </c>
      <c r="D62" s="94" t="s">
        <v>166</v>
      </c>
      <c r="E62" s="69"/>
      <c r="G62" s="64"/>
      <c r="H62" s="64"/>
    </row>
    <row r="63" spans="1:15" ht="15.75" customHeight="1">
      <c r="A63" s="73" t="s">
        <v>137</v>
      </c>
      <c r="B63" s="75" t="s">
        <v>37</v>
      </c>
      <c r="C63" s="86">
        <v>171208.21</v>
      </c>
      <c r="D63" s="94" t="s">
        <v>164</v>
      </c>
      <c r="E63" s="69"/>
      <c r="G63" s="64"/>
      <c r="H63" s="64"/>
    </row>
    <row r="64" spans="1:15" ht="15.75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139</v>
      </c>
      <c r="B65" s="75" t="s">
        <v>39</v>
      </c>
      <c r="C65" s="93">
        <f>E61</f>
        <v>168504.06</v>
      </c>
      <c r="D65" s="80" t="s">
        <v>58</v>
      </c>
      <c r="E65" s="69"/>
      <c r="G65" s="64"/>
      <c r="H65" s="64"/>
    </row>
    <row r="66" spans="1:8" ht="15.75" customHeight="1">
      <c r="A66" s="73" t="s">
        <v>140</v>
      </c>
      <c r="B66" s="75" t="s">
        <v>40</v>
      </c>
      <c r="C66" s="93">
        <f>E61</f>
        <v>168504.06</v>
      </c>
      <c r="D66" s="80" t="s">
        <v>58</v>
      </c>
      <c r="E66" s="69"/>
      <c r="G66" s="64"/>
      <c r="H66" s="64"/>
    </row>
    <row r="67" spans="1:8" ht="15.75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143</v>
      </c>
      <c r="B69" s="77" t="s">
        <v>77</v>
      </c>
      <c r="C69" s="96" t="str">
        <f>IF(E69&gt;0,"Предоставляется",0)</f>
        <v>Предоставляется</v>
      </c>
      <c r="D69" s="96" t="s">
        <v>54</v>
      </c>
      <c r="E69" s="95">
        <v>226247.34</v>
      </c>
      <c r="F69" s="94" t="s">
        <v>165</v>
      </c>
      <c r="G69" s="66"/>
      <c r="H69" s="66"/>
    </row>
    <row r="70" spans="1:8" ht="15.75" customHeight="1">
      <c r="A70" s="73" t="s">
        <v>144</v>
      </c>
      <c r="B70" s="75" t="s">
        <v>36</v>
      </c>
      <c r="C70" s="98">
        <v>1945.71</v>
      </c>
      <c r="D70" s="94" t="s">
        <v>166</v>
      </c>
      <c r="E70" s="69"/>
      <c r="G70" s="64"/>
      <c r="H70" s="64"/>
    </row>
    <row r="71" spans="1:8" ht="15.75" customHeight="1">
      <c r="A71" s="73" t="s">
        <v>145</v>
      </c>
      <c r="B71" s="75" t="s">
        <v>37</v>
      </c>
      <c r="C71" s="86">
        <v>240228.13</v>
      </c>
      <c r="D71" s="94" t="s">
        <v>164</v>
      </c>
      <c r="E71" s="69"/>
      <c r="G71" s="64"/>
      <c r="H71" s="64"/>
    </row>
    <row r="72" spans="1:8" ht="15.75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147</v>
      </c>
      <c r="B73" s="75" t="s">
        <v>39</v>
      </c>
      <c r="C73" s="93">
        <f>E69</f>
        <v>226247.34</v>
      </c>
      <c r="D73" s="80" t="s">
        <v>58</v>
      </c>
      <c r="E73" s="69"/>
      <c r="G73" s="64"/>
      <c r="H73" s="64"/>
    </row>
    <row r="74" spans="1:8" ht="15.75" customHeight="1">
      <c r="A74" s="73" t="s">
        <v>148</v>
      </c>
      <c r="B74" s="75" t="s">
        <v>40</v>
      </c>
      <c r="C74" s="93">
        <f>E69</f>
        <v>226247.34</v>
      </c>
      <c r="D74" s="80" t="s">
        <v>58</v>
      </c>
      <c r="E74" s="69"/>
      <c r="G74" s="64"/>
      <c r="H74" s="64"/>
    </row>
    <row r="75" spans="1:8" ht="15.75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151</v>
      </c>
      <c r="B77" s="77" t="s">
        <v>78</v>
      </c>
      <c r="C77" s="96" t="str">
        <f>IF(E77&gt;0,"Предоставляется",0)</f>
        <v>Предоставляется</v>
      </c>
      <c r="D77" s="96" t="s">
        <v>79</v>
      </c>
      <c r="E77" s="95">
        <v>660486</v>
      </c>
      <c r="F77" s="94" t="s">
        <v>165</v>
      </c>
      <c r="G77" s="66"/>
      <c r="H77" s="66"/>
    </row>
    <row r="78" spans="1:8" ht="15.75" customHeight="1">
      <c r="A78" s="73" t="s">
        <v>152</v>
      </c>
      <c r="B78" s="75" t="s">
        <v>36</v>
      </c>
      <c r="C78" s="98">
        <v>362.05</v>
      </c>
      <c r="D78" s="94" t="s">
        <v>167</v>
      </c>
      <c r="E78" s="64"/>
      <c r="G78" s="64"/>
      <c r="H78" s="64"/>
    </row>
    <row r="79" spans="1:8" ht="15.75" customHeight="1">
      <c r="A79" s="73" t="s">
        <v>153</v>
      </c>
      <c r="B79" s="75" t="s">
        <v>37</v>
      </c>
      <c r="C79" s="86">
        <v>727324.95</v>
      </c>
      <c r="D79" s="94" t="s">
        <v>164</v>
      </c>
      <c r="E79" s="64"/>
      <c r="G79" s="64"/>
      <c r="H79" s="64"/>
    </row>
    <row r="80" spans="1:8" ht="15.75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155</v>
      </c>
      <c r="B81" s="75" t="s">
        <v>39</v>
      </c>
      <c r="C81" s="93">
        <f>E77</f>
        <v>660486</v>
      </c>
      <c r="D81" s="80" t="s">
        <v>58</v>
      </c>
      <c r="E81" s="64"/>
      <c r="G81" s="64"/>
      <c r="H81" s="64"/>
    </row>
    <row r="82" spans="1:8" ht="15.75" customHeight="1">
      <c r="A82" s="73" t="s">
        <v>156</v>
      </c>
      <c r="B82" s="75" t="s">
        <v>40</v>
      </c>
      <c r="C82" s="93">
        <f>E77</f>
        <v>660486</v>
      </c>
      <c r="D82" s="80" t="s">
        <v>58</v>
      </c>
      <c r="E82" s="64"/>
      <c r="G82" s="64"/>
      <c r="H82" s="64"/>
    </row>
    <row r="83" spans="1:8" ht="15.75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5" sqref="H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2025-03-24T05:09:02Z</dcterms:modified>
</cp:coreProperties>
</file>