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B46" i="2" l="1"/>
  <c r="B45" i="2"/>
  <c r="B44" i="2"/>
  <c r="B42" i="2"/>
  <c r="B41" i="2"/>
  <c r="B40" i="2"/>
  <c r="B39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G94" i="1"/>
  <c r="D94" i="1"/>
  <c r="A94" i="1"/>
  <c r="K94" i="1"/>
  <c r="A109" i="1" l="1"/>
  <c r="A113" i="1"/>
  <c r="A114" i="1"/>
  <c r="A105" i="1"/>
  <c r="F110" i="1"/>
  <c r="A117" i="1"/>
  <c r="F118" i="1"/>
  <c r="A122" i="1"/>
  <c r="A110" i="1"/>
  <c r="A111" i="1"/>
  <c r="A115" i="1"/>
  <c r="D110" i="1"/>
  <c r="A112" i="1"/>
  <c r="F102" i="1"/>
  <c r="A95" i="1"/>
  <c r="A123" i="1"/>
  <c r="A119" i="1"/>
  <c r="A125" i="1"/>
  <c r="A118" i="1"/>
  <c r="A121" i="1"/>
  <c r="A141" i="1"/>
  <c r="F134" i="1"/>
  <c r="A137" i="1"/>
  <c r="A106" i="1"/>
  <c r="F94" i="1"/>
  <c r="A101" i="1"/>
  <c r="A102" i="1"/>
  <c r="A107" i="1"/>
  <c r="A134" i="1"/>
  <c r="A139" i="1"/>
  <c r="A138" i="1"/>
  <c r="A97" i="1"/>
  <c r="A103" i="1"/>
  <c r="A135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<sst xmlns="http://schemas.openxmlformats.org/spreadsheetml/2006/main" count="559" uniqueCount="206">
  <si>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</si>
  <si>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</si>
  <si>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</si>
  <si>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</si>
  <si>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</si>
  <si>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</si>
  <si>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</si>
  <si>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</si>
  <si>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</si>
  <si>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</si>
  <si>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</si>
  <si>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</si>
  <si>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</si>
  <si>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</si>
  <si>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</si>
  <si>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</si>
  <si>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</si>
  <si>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</si>
  <si>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</si>
  <si>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</si>
  <si>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</si>
  <si>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</si>
  <si>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</si>
  <si>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</si>
  <si>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</si>
  <si>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</si>
  <si>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</si>
  <si>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</si>
  <si>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</si>
  <si>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</si>
  <si>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</si>
  <si>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</si>
  <si>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</si>
  <si>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</si>
  <si>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</si>
  <si>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</si>
  <si>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</si>
  <si>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</si>
  <si>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</si>
  <si>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</si>
  <si>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</si>
  <si>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</si>
  <si>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</si>
  <si>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</si>
  <si>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</si>
  <si>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</si>
  <si>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</si>
  <si>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</si>
  <si>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</si>
  <si>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</si>
  <si>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</si>
  <si>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</si>
  <si>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</si>
  <si>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</si>
  <si>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</si>
  <si>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</si>
  <si>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</si>
  <si>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</si>
  <si>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</si>
  <si>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</si>
  <si>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</si>
  <si>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</si>
  <si>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</si>
  <si>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</si>
  <si>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</si>
  <si>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</si>
  <si>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</si>
  <si>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</si>
  <si>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</si>
  <si>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</si>
  <si>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</si>
  <si>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</si>
  <si>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</si>
  <si>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</si>
  <si>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</si>
  <si>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</si>
  <si>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</si>
  <si>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</si>
  <si>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</si>
  <si>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</si>
  <si>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</si>
  <si>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</si>
  <si>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</si>
  <si>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</si>
  <si>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</si>
  <si>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</si>
  <si>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</si>
  <si>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</si>
  <si>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</si>
  <si>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</si>
  <si>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</si>
  <si>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</si>
  <si>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</si>
  <si>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</si>
  <si>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</si>
  <si>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</si>
  <si>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</si>
  <si>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</si>
  <si>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</si>
  <si>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</si>
  <si>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</si>
  <si>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</si>
  <si>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</si>
  <si>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</si>
  <si>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</si>
  <si>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</si>
  <si>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</si>
  <si>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</si>
  <si>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</si>
  <si>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</si>
  <si>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</si>
  <si>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</si>
  <si>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</si>
  <si>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</si>
  <si>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</si>
  <si>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</si>
  <si>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</si>
  <si>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</si>
  <si>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</si>
  <si>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</si>
  <si>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</si>
  <si>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</si>
  <si>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</si>
  <si>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</si>
  <si>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</si>
  <si>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</si>
  <si>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</si>
  <si>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</si>
  <si>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</si>
  <si>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</si>
  <si>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</si>
  <si>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</si>
  <si>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</si>
  <si>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</si>
  <si>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</si>
  <si>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</si>
  <si>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</si>
  <si>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</si>
  <si>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</si>
  <si>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</si>
  <si>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</si>
  <si>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</si>
  <si>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</si>
  <si>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</si>
  <si>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</si>
  <si>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</si>
  <si>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</si>
  <si>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</si>
  <si>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</si>
  <si>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</si>
  <si>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</si>
  <si>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</si>
  <si>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</si>
  <si>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</si>
  <si>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</si>
  <si>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</si>
  <si>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</si>
  <si>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</si>
  <si>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</si>
  <si>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</si>
  <si>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</si>
  <si>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</si>
  <si>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</si>
  <si>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</si>
  <si>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</si>
  <si>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</si>
  <si>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</si>
  <si>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</si>
  <si>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</si>
  <si>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</si>
  <si>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</si>
  <si>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</si>
  <si>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</si>
  <si>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</si>
  <si>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Профсоюзная, 14</t>
  </si>
  <si>
    <t>Отчет об исполнении договора управления многоквартирного дома 
Профсоюзная, 14 в части текущего ремонта</t>
  </si>
  <si>
    <t>площадь дома</t>
  </si>
  <si>
    <t>разово</t>
  </si>
  <si>
    <t>минус Подв. 1, Городская строительная компания"</t>
  </si>
  <si>
    <t>минус П/п 9, Городская строительная компания"</t>
  </si>
  <si>
    <t>перерасчет по этим помещениям</t>
  </si>
  <si>
    <t>Механизированная уборка и вывоз снега с придомовой территории.</t>
  </si>
  <si>
    <t>Ремонт подъезда.</t>
  </si>
  <si>
    <t>ЛИФТЫ и ВИДЕО в содержании с 2023 года</t>
  </si>
  <si>
    <t>Перерасход (+) или экономия 
(-) средств в 2023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</si>
  <si>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</si>
  <si>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ремонт крыльца 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</si>
  <si>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</si>
  <si>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</si>
  <si>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</si>
  <si>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АВР 1/24 от 29.02.2024, Договор</t>
  </si>
  <si>
    <t>Устройство крыши над приямками (2 шт.).</t>
  </si>
  <si>
    <t>Диагностика прибора учета тепловой энергии.</t>
  </si>
  <si>
    <t>АВР 3/24 от 12.03.2024, Решение, счет №35 от 02.03.2024</t>
  </si>
  <si>
    <t>Замена блока питания на прибор учета тепловой энергии.</t>
  </si>
  <si>
    <t>АВР 4/24 от 28.03.2024, Решение, счет №104 от 06.03.2024, акт№90 от 03.06.2024</t>
  </si>
  <si>
    <t>Приобретение запорной арматуры в ИТП.</t>
  </si>
  <si>
    <t>АВР 5/24 от 25.06.2024, Решение</t>
  </si>
  <si>
    <t>АВР 2/24 от 29.07.2024, Решение, акт</t>
  </si>
  <si>
    <t>АВР 6/24 от 02.03.2024, Решение, счет №35 от 02.03.2024</t>
  </si>
  <si>
    <t>Приобретение и замена контактора и платы питания пассажирского лифта.</t>
  </si>
  <si>
    <t>АВР 7/24 от 30.11.2024, счет №1161 от 05.11.2024</t>
  </si>
  <si>
    <t>АВР 8/24 от 30.11.2024, Решение, счет 3137 от 29.10.2024</t>
  </si>
  <si>
    <t xml:space="preserve">Работы по содержанию земельного участка </t>
  </si>
  <si>
    <t xml:space="preserve">Тех. обслуживание видеонаблюдения </t>
  </si>
  <si>
    <t>Пуско-наладочные работы комплекта термопреобразователя сопротивления.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</si>
</sst>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1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29" fillId="0" borderId="0"/>
    <xf numFmtId="0" fontId="2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8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0" fontId="21" fillId="0" borderId="0" xfId="6" applyFont="1"/>
    <xf numFmtId="4" fontId="20" fillId="0" borderId="0" xfId="0" applyNumberFormat="1" applyFont="1" applyFill="1" applyBorder="1"/>
    <xf numFmtId="0" fontId="21" fillId="0" borderId="0" xfId="0" applyFont="1" applyBorder="1" applyAlignment="1">
      <alignment wrapText="1"/>
    </xf>
    <xf numFmtId="4" fontId="0" fillId="0" borderId="0" xfId="0" applyNumberFormat="1" applyBorder="1" applyAlignment="1">
      <alignment horizontal="center"/>
    </xf>
    <xf numFmtId="4" fontId="30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6" borderId="0" xfId="0" applyFont="1" applyFill="1" applyBorder="1" applyAlignment="1" applyProtection="1">
      <alignment wrapText="1"/>
      <protection locked="0"/>
    </xf>
    <xf numFmtId="0" fontId="31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 wrapText="1"/>
    </xf>
    <xf numFmtId="0" fontId="8" fillId="0" borderId="1" xfId="17" applyFont="1" applyFill="1" applyBorder="1" applyAlignment="1"/>
    <xf numFmtId="0" fontId="8" fillId="0" borderId="1" xfId="17" applyFont="1" applyFill="1" applyBorder="1" applyAlignment="1">
      <alignment horizontal="center"/>
    </xf>
    <xf numFmtId="0" fontId="28" fillId="0" borderId="1" xfId="17" applyFont="1" applyFill="1" applyBorder="1" applyAlignment="1">
      <alignment horizontal="center"/>
    </xf>
    <xf numFmtId="4" fontId="28" fillId="0" borderId="1" xfId="17" applyNumberFormat="1" applyFont="1" applyFill="1" applyBorder="1" applyAlignment="1"/>
    <xf numFmtId="0" fontId="6" fillId="0" borderId="1" xfId="17" applyFont="1" applyFill="1" applyBorder="1" applyAlignment="1"/>
    <xf numFmtId="0" fontId="5" fillId="0" borderId="1" xfId="2" applyFont="1" applyFill="1" applyBorder="1" applyAlignment="1"/>
    <xf numFmtId="0" fontId="0" fillId="0" borderId="1" xfId="0" applyFill="1" applyBorder="1" applyAlignment="1">
      <alignment horizontal="center"/>
    </xf>
    <xf numFmtId="4" fontId="0" fillId="0" borderId="1" xfId="0" applyNumberFormat="1" applyFill="1" applyBorder="1"/>
    <xf numFmtId="0" fontId="0" fillId="0" borderId="1" xfId="0" applyFill="1" applyBorder="1"/>
    <xf numFmtId="0" fontId="4" fillId="0" borderId="1" xfId="41" applyFont="1" applyFill="1" applyBorder="1" applyAlignment="1"/>
    <xf numFmtId="0" fontId="9" fillId="0" borderId="1" xfId="41" applyFont="1" applyFill="1" applyBorder="1" applyAlignment="1">
      <alignment horizontal="center"/>
    </xf>
    <xf numFmtId="0" fontId="9" fillId="0" borderId="1" xfId="41" applyNumberFormat="1" applyFill="1" applyBorder="1" applyAlignment="1">
      <alignment horizontal="center"/>
    </xf>
    <xf numFmtId="4" fontId="9" fillId="0" borderId="1" xfId="41" applyNumberFormat="1" applyFill="1" applyBorder="1" applyAlignment="1"/>
    <xf numFmtId="0" fontId="4" fillId="0" borderId="1" xfId="5" applyFont="1" applyFill="1" applyBorder="1" applyAlignment="1"/>
    <xf numFmtId="0" fontId="7" fillId="0" borderId="1" xfId="5" applyFont="1" applyFill="1" applyBorder="1" applyAlignment="1">
      <alignment horizontal="center"/>
    </xf>
    <xf numFmtId="0" fontId="14" fillId="0" borderId="1" xfId="5" applyFill="1" applyBorder="1" applyAlignment="1">
      <alignment horizontal="center"/>
    </xf>
    <xf numFmtId="4" fontId="14" fillId="0" borderId="1" xfId="5" applyNumberFormat="1" applyFill="1" applyBorder="1" applyAlignment="1"/>
    <xf numFmtId="0" fontId="9" fillId="0" borderId="1" xfId="41" applyFont="1" applyFill="1" applyBorder="1" applyAlignment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3" fillId="0" borderId="1" xfId="2" applyFont="1" applyFill="1" applyBorder="1" applyAlignment="1"/>
    <xf numFmtId="0" fontId="3" fillId="0" borderId="1" xfId="41" applyFon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0" fontId="2" fillId="0" borderId="1" xfId="2" applyFont="1" applyFill="1" applyBorder="1" applyAlignment="1"/>
    <xf numFmtId="0" fontId="2" fillId="0" borderId="1" xfId="41" applyFont="1" applyFill="1" applyBorder="1" applyAlignment="1">
      <alignment horizontal="center"/>
    </xf>
    <xf numFmtId="0" fontId="1" fillId="0" borderId="1" xfId="10" applyFont="1" applyFill="1" applyBorder="1" applyAlignment="1"/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151">
    <cellStyle name="Обычный" xfId="0" builtinId="0"/>
    <cellStyle name="Обычный 2" xfId="1"/>
    <cellStyle name="Обычный 2 10" xfId="36"/>
    <cellStyle name="Обычный 2 11" xfId="26"/>
    <cellStyle name="Обычный 2 2" xfId="3"/>
    <cellStyle name="Обычный 2 3" xfId="7"/>
    <cellStyle name="Обычный 2 3 2" xfId="22"/>
    <cellStyle name="Обычный 2 3 2 2" xfId="143"/>
    <cellStyle name="Обычный 2 3 2 3" xfId="109"/>
    <cellStyle name="Обычный 2 3 2 4" xfId="62"/>
    <cellStyle name="Обычный 2 3 3" xfId="94"/>
    <cellStyle name="Обычный 2 3 4" xfId="128"/>
    <cellStyle name="Обычный 2 3 5" xfId="81"/>
    <cellStyle name="Обычный 2 3 6" xfId="47"/>
    <cellStyle name="Обычный 2 3 7" xfId="31"/>
    <cellStyle name="Обычный 2 4" xfId="11"/>
    <cellStyle name="Обычный 2 4 2" xfId="113"/>
    <cellStyle name="Обычный 2 4 3" xfId="147"/>
    <cellStyle name="Обычный 2 4 4" xfId="85"/>
    <cellStyle name="Обычный 2 4 5" xfId="66"/>
    <cellStyle name="Обычный 2 5" xfId="15"/>
    <cellStyle name="Обычный 2 5 2" xfId="58"/>
    <cellStyle name="Обычный 2 5 2 2" xfId="139"/>
    <cellStyle name="Обычный 2 5 2 3" xfId="105"/>
    <cellStyle name="Обычный 2 5 3" xfId="121"/>
    <cellStyle name="Обычный 2 5 4" xfId="77"/>
    <cellStyle name="Обычный 2 5 5" xfId="40"/>
    <cellStyle name="Обычный 2 5 6" xfId="35"/>
    <cellStyle name="Обычный 2 6" xfId="51"/>
    <cellStyle name="Обычный 2 6 2" xfId="132"/>
    <cellStyle name="Обычный 2 6 3" xfId="98"/>
    <cellStyle name="Обычный 2 7" xfId="42"/>
    <cellStyle name="Обычный 2 7 2" xfId="123"/>
    <cellStyle name="Обычный 2 7 3" xfId="89"/>
    <cellStyle name="Обычный 2 8" xfId="117"/>
    <cellStyle name="Обычный 2 9" xfId="70"/>
    <cellStyle name="Обычный 3" xfId="2"/>
    <cellStyle name="Обычный 3 10" xfId="27"/>
    <cellStyle name="Обычный 3 2" xfId="8"/>
    <cellStyle name="Обычный 3 2 2" xfId="21"/>
    <cellStyle name="Обычный 3 2 2 2" xfId="110"/>
    <cellStyle name="Обычный 3 2 2 3" xfId="144"/>
    <cellStyle name="Обычный 3 2 2 4" xfId="82"/>
    <cellStyle name="Обычный 3 2 2 5" xfId="63"/>
    <cellStyle name="Обычный 3 2 3" xfId="56"/>
    <cellStyle name="Обычный 3 2 3 2" xfId="137"/>
    <cellStyle name="Обычный 3 2 3 3" xfId="103"/>
    <cellStyle name="Обычный 3 2 4" xfId="95"/>
    <cellStyle name="Обычный 3 2 5" xfId="129"/>
    <cellStyle name="Обычный 3 2 6" xfId="75"/>
    <cellStyle name="Обычный 3 2 7" xfId="48"/>
    <cellStyle name="Обычный 3 3" xfId="12"/>
    <cellStyle name="Обычный 3 3 2" xfId="20"/>
    <cellStyle name="Обычный 3 3 2 2" xfId="114"/>
    <cellStyle name="Обычный 3 3 3" xfId="148"/>
    <cellStyle name="Обычный 3 3 4" xfId="86"/>
    <cellStyle name="Обычный 3 3 5" xfId="67"/>
    <cellStyle name="Обычный 3 4" xfId="23"/>
    <cellStyle name="Обычный 3 4 2" xfId="106"/>
    <cellStyle name="Обычный 3 4 3" xfId="140"/>
    <cellStyle name="Обычный 3 4 4" xfId="78"/>
    <cellStyle name="Обычный 3 4 5" xfId="59"/>
    <cellStyle name="Обычный 3 4 6" xfId="32"/>
    <cellStyle name="Обычный 3 5" xfId="16"/>
    <cellStyle name="Обычный 3 5 2" xfId="133"/>
    <cellStyle name="Обычный 3 5 3" xfId="99"/>
    <cellStyle name="Обычный 3 5 4" xfId="52"/>
    <cellStyle name="Обычный 3 6" xfId="43"/>
    <cellStyle name="Обычный 3 6 2" xfId="124"/>
    <cellStyle name="Обычный 3 6 3" xfId="90"/>
    <cellStyle name="Обычный 3 7" xfId="118"/>
    <cellStyle name="Обычный 3 8" xfId="71"/>
    <cellStyle name="Обычный 3 9" xfId="37"/>
    <cellStyle name="Обычный 4" xfId="4"/>
    <cellStyle name="Обычный 4 10" xfId="28"/>
    <cellStyle name="Обычный 4 2" xfId="9"/>
    <cellStyle name="Обычный 4 2 2" xfId="24"/>
    <cellStyle name="Обычный 4 2 2 2" xfId="111"/>
    <cellStyle name="Обычный 4 2 2 3" xfId="145"/>
    <cellStyle name="Обычный 4 2 2 4" xfId="83"/>
    <cellStyle name="Обычный 4 2 2 5" xfId="64"/>
    <cellStyle name="Обычный 4 2 3" xfId="57"/>
    <cellStyle name="Обычный 4 2 3 2" xfId="138"/>
    <cellStyle name="Обычный 4 2 3 3" xfId="104"/>
    <cellStyle name="Обычный 4 2 4" xfId="96"/>
    <cellStyle name="Обычный 4 2 5" xfId="130"/>
    <cellStyle name="Обычный 4 2 6" xfId="76"/>
    <cellStyle name="Обычный 4 2 7" xfId="49"/>
    <cellStyle name="Обычный 4 2 8" xfId="33"/>
    <cellStyle name="Обычный 4 3" xfId="13"/>
    <cellStyle name="Обычный 4 3 2" xfId="115"/>
    <cellStyle name="Обычный 4 3 3" xfId="149"/>
    <cellStyle name="Обычный 4 3 4" xfId="87"/>
    <cellStyle name="Обычный 4 3 5" xfId="68"/>
    <cellStyle name="Обычный 4 4" xfId="17"/>
    <cellStyle name="Обычный 4 4 2" xfId="107"/>
    <cellStyle name="Обычный 4 4 3" xfId="141"/>
    <cellStyle name="Обычный 4 4 4" xfId="79"/>
    <cellStyle name="Обычный 4 4 5" xfId="60"/>
    <cellStyle name="Обычный 4 5" xfId="53"/>
    <cellStyle name="Обычный 4 5 2" xfId="134"/>
    <cellStyle name="Обычный 4 5 3" xfId="100"/>
    <cellStyle name="Обычный 4 6" xfId="44"/>
    <cellStyle name="Обычный 4 6 2" xfId="125"/>
    <cellStyle name="Обычный 4 6 3" xfId="91"/>
    <cellStyle name="Обычный 4 7" xfId="119"/>
    <cellStyle name="Обычный 4 8" xfId="72"/>
    <cellStyle name="Обычный 4 9" xfId="38"/>
    <cellStyle name="Обычный 5" xfId="5"/>
    <cellStyle name="Обычный 5 10" xfId="29"/>
    <cellStyle name="Обычный 5 2" xfId="10"/>
    <cellStyle name="Обычный 5 2 2" xfId="25"/>
    <cellStyle name="Обычный 5 2 2 2" xfId="146"/>
    <cellStyle name="Обычный 5 2 2 3" xfId="112"/>
    <cellStyle name="Обычный 5 2 2 4" xfId="65"/>
    <cellStyle name="Обычный 5 2 3" xfId="50"/>
    <cellStyle name="Обычный 5 2 3 2" xfId="131"/>
    <cellStyle name="Обычный 5 2 3 3" xfId="97"/>
    <cellStyle name="Обычный 5 2 4" xfId="122"/>
    <cellStyle name="Обычный 5 2 5" xfId="84"/>
    <cellStyle name="Обычный 5 2 6" xfId="41"/>
    <cellStyle name="Обычный 5 2 7" xfId="34"/>
    <cellStyle name="Обычный 5 3" xfId="14"/>
    <cellStyle name="Обычный 5 3 2" xfId="69"/>
    <cellStyle name="Обычный 5 3 2 2" xfId="150"/>
    <cellStyle name="Обычный 5 3 2 3" xfId="116"/>
    <cellStyle name="Обычный 5 3 3" xfId="93"/>
    <cellStyle name="Обычный 5 3 4" xfId="127"/>
    <cellStyle name="Обычный 5 3 5" xfId="88"/>
    <cellStyle name="Обычный 5 3 6" xfId="46"/>
    <cellStyle name="Обычный 5 4" xfId="18"/>
    <cellStyle name="Обычный 5 4 2" xfId="108"/>
    <cellStyle name="Обычный 5 4 3" xfId="142"/>
    <cellStyle name="Обычный 5 4 4" xfId="80"/>
    <cellStyle name="Обычный 5 4 5" xfId="61"/>
    <cellStyle name="Обычный 5 5" xfId="54"/>
    <cellStyle name="Обычный 5 5 2" xfId="135"/>
    <cellStyle name="Обычный 5 5 3" xfId="101"/>
    <cellStyle name="Обычный 5 6" xfId="45"/>
    <cellStyle name="Обычный 5 6 2" xfId="126"/>
    <cellStyle name="Обычный 5 6 3" xfId="92"/>
    <cellStyle name="Обычный 5 7" xfId="120"/>
    <cellStyle name="Обычный 5 8" xfId="73"/>
    <cellStyle name="Обычный 5 9" xfId="39"/>
    <cellStyle name="Обычный 6" xfId="6"/>
    <cellStyle name="Обычный 6 2" xfId="102"/>
    <cellStyle name="Обычный 6 3" xfId="136"/>
    <cellStyle name="Обычный 6 4" xfId="74"/>
    <cellStyle name="Обычный 6 5" xfId="55"/>
    <cellStyle name="Финансовый 2" xfId="19"/>
    <cellStyle name="Финансовый 2 2" xfId="3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2" sqref="A2:J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5" t="s">
        <v>174</v>
      </c>
      <c r="B2" s="175"/>
      <c r="C2" s="175"/>
      <c r="D2" s="175"/>
      <c r="E2" s="175"/>
      <c r="F2" s="175"/>
      <c r="G2" s="175"/>
      <c r="H2" s="175"/>
      <c r="I2" s="175"/>
      <c r="J2" s="175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45292</v>
      </c>
      <c r="K4" s="109"/>
      <c r="L4" s="109"/>
      <c r="M4" s="109"/>
      <c r="N4" s="109"/>
    </row>
    <row r="5" spans="1:18">
      <c r="A5" s="1" t="s">
        <v>1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6"/>
      <c r="M8" s="109"/>
      <c r="N8" s="109"/>
      <c r="O8" s="70" t="s">
        <v>80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6"/>
      <c r="M9" s="109"/>
      <c r="N9" s="109"/>
      <c r="O9" s="70" t="s">
        <v>81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197735</v>
      </c>
      <c r="K10" s="109"/>
      <c r="L10" s="176"/>
      <c r="M10" s="109"/>
      <c r="N10" s="109"/>
      <c r="O10" s="70" t="s">
        <v>82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909083.30999999994</v>
      </c>
      <c r="K11" s="109"/>
      <c r="L11" s="176"/>
      <c r="M11" s="109"/>
      <c r="N11" s="109"/>
      <c r="O11" s="70" t="s">
        <v>83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559654.71</v>
      </c>
      <c r="K12" s="109"/>
      <c r="L12" s="176"/>
      <c r="M12" s="109"/>
      <c r="N12" s="109"/>
      <c r="O12" s="70" t="s">
        <v>84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180630</v>
      </c>
      <c r="K13" s="109"/>
      <c r="L13" s="176"/>
      <c r="M13" s="109"/>
      <c r="N13" s="109"/>
      <c r="O13" s="70" t="s">
        <v>85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168798.6</v>
      </c>
      <c r="K14" s="109"/>
      <c r="L14" s="176"/>
      <c r="M14" s="109"/>
      <c r="N14" s="109"/>
      <c r="O14" s="70" t="s">
        <v>86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938009.51</v>
      </c>
      <c r="K15" s="109"/>
      <c r="L15" s="176"/>
      <c r="M15" s="109"/>
      <c r="N15" s="109"/>
      <c r="O15" s="70" t="s">
        <v>87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938009.51</v>
      </c>
      <c r="K16" s="109"/>
      <c r="L16" s="176"/>
      <c r="M16" s="109"/>
      <c r="N16" s="109"/>
      <c r="O16" s="70" t="s">
        <v>88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6"/>
      <c r="M17" s="109"/>
      <c r="N17" s="109"/>
      <c r="O17" s="70" t="s">
        <v>89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6"/>
      <c r="M18" s="109"/>
      <c r="N18" s="109"/>
      <c r="O18" s="70" t="s">
        <v>90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6"/>
      <c r="M19" s="109"/>
      <c r="N19" s="109"/>
      <c r="O19" s="70" t="s">
        <v>91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6"/>
      <c r="M20" s="109"/>
      <c r="N20" s="109"/>
      <c r="O20" s="70" t="s">
        <v>92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938009.51</v>
      </c>
      <c r="K21" s="109"/>
      <c r="L21" s="176"/>
      <c r="M21" s="109"/>
      <c r="N21" s="109"/>
      <c r="O21" s="70" t="s">
        <v>93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6"/>
      <c r="M22" s="109"/>
      <c r="N22" s="109"/>
      <c r="O22" s="70" t="s">
        <v>94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6"/>
      <c r="M23" s="109"/>
      <c r="N23" s="109"/>
      <c r="O23" s="70" t="s">
        <v>95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168808.80000000005</v>
      </c>
      <c r="K24" s="109"/>
      <c r="L24" s="176"/>
      <c r="M24" s="109"/>
      <c r="N24" s="109"/>
      <c r="O24" s="70" t="s">
        <v>96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56</v>
      </c>
      <c r="I27" s="159" t="s">
        <v>21</v>
      </c>
      <c r="J27" s="159"/>
      <c r="K27" s="109"/>
      <c r="L27" s="177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235902.78000000003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09"/>
      <c r="L28" s="177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3" t="str">
        <f>ПТО!A40</f>
        <v>Работы по содержанию лифта (лифтов)</v>
      </c>
      <c r="B29" s="153"/>
      <c r="C29" s="153"/>
      <c r="D29" s="153"/>
      <c r="E29" s="153"/>
      <c r="F29" s="154">
        <f>VLOOKUP(A29,ПТО!$A$39:$D$53,2,FALSE)</f>
        <v>60330.42</v>
      </c>
      <c r="G29" s="154"/>
      <c r="H29" s="42" t="str">
        <f>VLOOKUP(A29,ПТО!$A$39:$D$53,3,FALSE)</f>
        <v>Ежемесячно</v>
      </c>
      <c r="I29" s="155">
        <f>VLOOKUP(A29,ПТО!$A$39:$D$53,4,FALSE)</f>
        <v>12</v>
      </c>
      <c r="J29" s="155"/>
      <c r="K29" s="109"/>
      <c r="L29" s="177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3" t="str">
        <f>ПТО!A41</f>
        <v xml:space="preserve">Работы по содержанию земельного участка </v>
      </c>
      <c r="B30" s="153"/>
      <c r="C30" s="153"/>
      <c r="D30" s="153"/>
      <c r="E30" s="153"/>
      <c r="F30" s="154">
        <f>VLOOKUP(A30,ПТО!$A$39:$D$53,2,FALSE)</f>
        <v>63852.704999999994</v>
      </c>
      <c r="G30" s="154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09"/>
      <c r="L30" s="177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50576.399999999994</v>
      </c>
      <c r="G31" s="154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09"/>
      <c r="L31" s="177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09"/>
      <c r="L32" s="177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12644.099999999999</v>
      </c>
      <c r="G33" s="154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09"/>
      <c r="L33" s="177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71499.375</v>
      </c>
      <c r="G34" s="154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09"/>
      <c r="L34" s="177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3" t="str">
        <f>ПТО!A46</f>
        <v xml:space="preserve">Тех. обслуживание видеонаблюдения </v>
      </c>
      <c r="B35" s="153"/>
      <c r="C35" s="153"/>
      <c r="D35" s="153"/>
      <c r="E35" s="153"/>
      <c r="F35" s="154">
        <f>VLOOKUP(A35,ПТО!$A$39:$D$53,2,FALSE)</f>
        <v>31790.880000000001</v>
      </c>
      <c r="G35" s="154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09"/>
      <c r="L35" s="177"/>
      <c r="M35" s="116"/>
      <c r="N35" s="109"/>
      <c r="O35" s="23" t="str">
        <f t="shared" si="1"/>
        <v xml:space="preserve">Тех. обслуживание видеонаблюдения </v>
      </c>
      <c r="R35" s="1" t="s">
        <v>70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09"/>
      <c r="L36" s="177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09"/>
      <c r="L37" s="177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09"/>
      <c r="L38" s="177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09"/>
      <c r="L39" s="177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09"/>
      <c r="L40" s="177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09"/>
      <c r="L41" s="177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09"/>
      <c r="L42" s="177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53" t="str">
        <f>ПТО!A2</f>
        <v>Ремонт подъезда.</v>
      </c>
      <c r="B43" s="153"/>
      <c r="C43" s="153"/>
      <c r="D43" s="153"/>
      <c r="E43" s="153"/>
      <c r="F43" s="154">
        <f>VLOOKUP(A43,ПТО!$A$2:$D$31,4,FALSE)</f>
        <v>305889</v>
      </c>
      <c r="G43" s="154"/>
      <c r="H43" s="19" t="str">
        <f>VLOOKUP(A43,ПТО!$A$2:$D$31,2,FALSE)</f>
        <v>разово</v>
      </c>
      <c r="I43" s="155">
        <f>VLOOKUP(A43,ПТО!$A$2:$D$31,3,FALSE)</f>
        <v>1</v>
      </c>
      <c r="J43" s="155"/>
      <c r="K43" s="109"/>
      <c r="L43" s="177"/>
      <c r="M43" s="116"/>
      <c r="N43" s="109"/>
      <c r="O43" s="23" t="str">
        <f t="shared" si="1"/>
        <v>Ремонт подъезда.</v>
      </c>
      <c r="R43" s="22" t="s">
        <v>71</v>
      </c>
    </row>
    <row r="44" spans="1:18" ht="51" customHeight="1" outlineLevel="1">
      <c r="A44" s="153" t="str">
        <f>ПТО!A3</f>
        <v>Устройство крыши над приямками (2 шт.).</v>
      </c>
      <c r="B44" s="153"/>
      <c r="C44" s="153"/>
      <c r="D44" s="153"/>
      <c r="E44" s="153"/>
      <c r="F44" s="154">
        <f>VLOOKUP(A44,ПТО!$A$2:$D$31,4,FALSE)</f>
        <v>44900</v>
      </c>
      <c r="G44" s="154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09"/>
      <c r="L44" s="177"/>
      <c r="M44" s="116"/>
      <c r="N44" s="109"/>
      <c r="O44" s="23" t="str">
        <f t="shared" si="1"/>
        <v>Устройство крыши над приямками (2 шт.).</v>
      </c>
      <c r="R44" s="22" t="s">
        <v>71</v>
      </c>
    </row>
    <row r="45" spans="1:18" ht="51" customHeight="1" outlineLevel="1">
      <c r="A45" s="153" t="str">
        <f>ПТО!A4</f>
        <v>Диагностика прибора учета тепловой энергии.</v>
      </c>
      <c r="B45" s="153"/>
      <c r="C45" s="153"/>
      <c r="D45" s="153"/>
      <c r="E45" s="153"/>
      <c r="F45" s="154">
        <f>VLOOKUP(A45,ПТО!$A$2:$D$31,4,FALSE)</f>
        <v>1782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09"/>
      <c r="L45" s="177"/>
      <c r="M45" s="116"/>
      <c r="N45" s="109"/>
      <c r="O45" s="23" t="str">
        <f t="shared" si="1"/>
        <v>Диагностика прибора учета тепловой энергии.</v>
      </c>
      <c r="R45" s="22" t="s">
        <v>71</v>
      </c>
    </row>
    <row r="46" spans="1:18" ht="51" customHeight="1" outlineLevel="1">
      <c r="A46" s="153" t="str">
        <f>ПТО!A5</f>
        <v>Замена блока питания на прибор учета тепловой энергии.</v>
      </c>
      <c r="B46" s="153"/>
      <c r="C46" s="153"/>
      <c r="D46" s="153"/>
      <c r="E46" s="153"/>
      <c r="F46" s="154">
        <f>VLOOKUP(A46,ПТО!$A$2:$D$31,4,FALSE)</f>
        <v>2477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09"/>
      <c r="L46" s="177"/>
      <c r="M46" s="116"/>
      <c r="N46" s="109"/>
      <c r="O46" s="23" t="str">
        <f t="shared" si="1"/>
        <v>Замена блока питания на прибор учета тепловой энергии.</v>
      </c>
      <c r="R46" s="22" t="s">
        <v>71</v>
      </c>
    </row>
    <row r="47" spans="1:18" ht="51" customHeight="1" outlineLevel="1">
      <c r="A47" s="153" t="str">
        <f>ПТО!A6</f>
        <v>Приобретение запорной арматуры в ИТП.</v>
      </c>
      <c r="B47" s="153"/>
      <c r="C47" s="153"/>
      <c r="D47" s="153"/>
      <c r="E47" s="153"/>
      <c r="F47" s="154">
        <f>VLOOKUP(A47,ПТО!$A$2:$D$31,4,FALSE)</f>
        <v>503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09"/>
      <c r="L47" s="177"/>
      <c r="M47" s="116"/>
      <c r="N47" s="109"/>
      <c r="O47" s="23" t="str">
        <f t="shared" si="1"/>
        <v>Приобретение запорной арматуры в ИТП.</v>
      </c>
      <c r="R47" s="22" t="s">
        <v>71</v>
      </c>
    </row>
    <row r="48" spans="1:18" ht="51" customHeight="1" outlineLevel="1">
      <c r="A48" s="153" t="str">
        <f>ПТО!A7</f>
        <v>Механизированная уборка и вывоз снега с придомовой территории.</v>
      </c>
      <c r="B48" s="153"/>
      <c r="C48" s="153"/>
      <c r="D48" s="153"/>
      <c r="E48" s="153"/>
      <c r="F48" s="154">
        <f>VLOOKUP(A48,ПТО!$A$2:$D$31,4,FALSE)</f>
        <v>10118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09"/>
      <c r="L48" s="177"/>
      <c r="M48" s="116"/>
      <c r="N48" s="109"/>
      <c r="O48" s="23" t="str">
        <f t="shared" si="1"/>
        <v>Механизированная уборка и вывоз снега с придомовой территории.</v>
      </c>
      <c r="R48" s="22" t="s">
        <v>71</v>
      </c>
    </row>
    <row r="49" spans="1:18" ht="51" customHeight="1" outlineLevel="1">
      <c r="A49" s="153" t="str">
        <f>ПТО!A8</f>
        <v>Пуско-наладочные работы комплекта термопреобразователя сопротивления.</v>
      </c>
      <c r="B49" s="153"/>
      <c r="C49" s="153"/>
      <c r="D49" s="153"/>
      <c r="E49" s="153"/>
      <c r="F49" s="154">
        <f>VLOOKUP(A49,ПТО!$A$2:$D$31,4,FALSE)</f>
        <v>890</v>
      </c>
      <c r="G49" s="154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09"/>
      <c r="L49" s="177"/>
      <c r="M49" s="116"/>
      <c r="N49" s="109"/>
      <c r="O49" s="23" t="str">
        <f t="shared" si="1"/>
        <v>Пуско-наладочные работы комплекта термопреобразователя сопротивления.</v>
      </c>
      <c r="R49" s="22" t="s">
        <v>71</v>
      </c>
    </row>
    <row r="50" spans="1:18" ht="51" customHeight="1" outlineLevel="1">
      <c r="A50" s="153" t="str">
        <f>ПТО!A9</f>
        <v>Приобретение и замена контактора и платы питания пассажирского лифта.</v>
      </c>
      <c r="B50" s="153"/>
      <c r="C50" s="153"/>
      <c r="D50" s="153"/>
      <c r="E50" s="153"/>
      <c r="F50" s="154">
        <f>VLOOKUP(A50,ПТО!$A$2:$D$31,4,FALSE)</f>
        <v>8050</v>
      </c>
      <c r="G50" s="154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09"/>
      <c r="L50" s="177"/>
      <c r="M50" s="116"/>
      <c r="N50" s="109"/>
      <c r="O50" s="23" t="str">
        <f t="shared" si="1"/>
        <v>Приобретение и замена контактора и платы питания пассажирского лифта.</v>
      </c>
      <c r="R50" s="22" t="s">
        <v>71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09"/>
      <c r="L51" s="177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09"/>
      <c r="L52" s="177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09"/>
      <c r="L53" s="177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09"/>
      <c r="L54" s="177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09"/>
      <c r="L55" s="177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09"/>
      <c r="L56" s="177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09"/>
      <c r="L57" s="177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09"/>
      <c r="L58" s="177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09"/>
      <c r="L59" s="177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09"/>
      <c r="L60" s="177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09"/>
      <c r="L61" s="177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09"/>
      <c r="L62" s="177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09"/>
      <c r="L63" s="177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09"/>
      <c r="L64" s="177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09"/>
      <c r="L65" s="177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09"/>
      <c r="L66" s="177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09"/>
      <c r="L67" s="177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09"/>
      <c r="L68" s="177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09"/>
      <c r="L69" s="177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09"/>
      <c r="L70" s="177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6"/>
      <c r="L71" s="177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09"/>
      <c r="L72" s="177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172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71" t="s">
        <v>26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09"/>
      <c r="L75" s="160"/>
      <c r="M75" s="109"/>
      <c r="N75" s="109"/>
      <c r="O75" s="70" t="s">
        <v>97</v>
      </c>
    </row>
    <row r="76" spans="1:16384" ht="18.75" customHeight="1" outlineLevel="1">
      <c r="A76" s="171" t="s">
        <v>27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09"/>
      <c r="L76" s="160"/>
      <c r="M76" s="109"/>
      <c r="N76" s="109"/>
      <c r="O76" s="70" t="s">
        <v>98</v>
      </c>
    </row>
    <row r="77" spans="1:16384" ht="21.75" customHeight="1" outlineLevel="1">
      <c r="A77" s="171" t="s">
        <v>28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09"/>
      <c r="L77" s="160"/>
      <c r="M77" s="109"/>
      <c r="N77" s="109"/>
      <c r="O77" s="70" t="s">
        <v>99</v>
      </c>
    </row>
    <row r="78" spans="1:16384" ht="18.75" customHeight="1" outlineLevel="1">
      <c r="A78" s="171" t="s">
        <v>29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09"/>
      <c r="L78" s="160"/>
      <c r="M78" s="109"/>
      <c r="N78" s="109"/>
      <c r="O78" s="70" t="s">
        <v>100</v>
      </c>
    </row>
    <row r="79" spans="1:16384">
      <c r="A79" s="115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101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78"/>
      <c r="M82" s="109"/>
      <c r="N82" s="109"/>
      <c r="O82" s="70" t="s">
        <v>102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1903.57</v>
      </c>
      <c r="K83" s="109"/>
      <c r="L83" s="178"/>
      <c r="M83" s="109"/>
      <c r="N83" s="109"/>
      <c r="O83" s="70" t="s">
        <v>103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13620.31</v>
      </c>
      <c r="K84" s="109"/>
      <c r="L84" s="178"/>
      <c r="M84" s="109"/>
      <c r="N84" s="109"/>
      <c r="O84" s="70" t="s">
        <v>104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09"/>
      <c r="L85" s="178"/>
      <c r="M85" s="109"/>
      <c r="N85" s="109"/>
      <c r="O85" s="70" t="s">
        <v>105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0</v>
      </c>
      <c r="K86" s="109"/>
      <c r="L86" s="178"/>
      <c r="M86" s="109"/>
      <c r="N86" s="109"/>
      <c r="O86" s="70" t="s">
        <v>106</v>
      </c>
    </row>
    <row r="87" spans="1:15" ht="18.75" customHeight="1" outlineLevel="1">
      <c r="A87" s="168" t="s">
        <v>26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09"/>
      <c r="L87" s="178"/>
      <c r="M87" s="109"/>
      <c r="N87" s="109"/>
      <c r="O87" s="70" t="s">
        <v>107</v>
      </c>
    </row>
    <row r="88" spans="1:15" ht="18.75" customHeight="1" outlineLevel="1">
      <c r="A88" s="168" t="s">
        <v>27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09"/>
      <c r="L88" s="178"/>
      <c r="M88" s="109"/>
      <c r="N88" s="109"/>
      <c r="O88" s="70" t="s">
        <v>108</v>
      </c>
    </row>
    <row r="89" spans="1:15" ht="18.75" customHeight="1" outlineLevel="1">
      <c r="A89" s="168" t="s">
        <v>28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09"/>
      <c r="L89" s="178"/>
      <c r="M89" s="109"/>
      <c r="N89" s="109"/>
      <c r="O89" s="70" t="s">
        <v>109</v>
      </c>
    </row>
    <row r="90" spans="1:15" ht="18.75" customHeight="1" outlineLevel="1">
      <c r="A90" s="168" t="s">
        <v>29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09"/>
      <c r="L90" s="178"/>
      <c r="M90" s="109"/>
      <c r="N90" s="109"/>
      <c r="O90" s="70" t="s">
        <v>110</v>
      </c>
    </row>
    <row r="91" spans="1:15">
      <c r="A91" s="104" t="s">
        <v>172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62" t="s">
        <v>47</v>
      </c>
      <c r="B93" s="162"/>
      <c r="C93" s="162"/>
      <c r="D93" s="165" t="s">
        <v>48</v>
      </c>
      <c r="E93" s="165"/>
      <c r="F93" s="10" t="s">
        <v>49</v>
      </c>
      <c r="G93" s="162" t="s">
        <v>50</v>
      </c>
      <c r="H93" s="162"/>
      <c r="I93" s="162"/>
      <c r="J93" s="162"/>
      <c r="K93" s="109"/>
      <c r="L93" s="109"/>
      <c r="M93" s="109"/>
      <c r="N93" s="109"/>
    </row>
    <row r="94" spans="1:15" hidden="1" outlineLevel="1">
      <c r="A94" s="166">
        <f>IF(VLOOKUP("эл",АО,3,FALSE)&gt;0,"Электроснабжение",0)</f>
        <v>0</v>
      </c>
      <c r="B94" s="166"/>
      <c r="C94" s="166"/>
      <c r="D94" s="164">
        <f>IF(VLOOKUP("эл",АО,3,FALSE)&gt;0,VLOOKUP("эл",АО,3,FALSE),0)</f>
        <v>0</v>
      </c>
      <c r="E94" s="164"/>
      <c r="F94" s="13">
        <f>IF(VLOOKUP("эл",АО,3,FALSE)&gt;0,VLOOKUP("эл",АО,4,FALSE),0)</f>
        <v>0</v>
      </c>
      <c r="G94" s="163">
        <f>VLOOKUP("эл",АО,5,FALSE)</f>
        <v>0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hidden="1" outlineLevel="2">
      <c r="A95" s="167">
        <f>IF(VLOOKUP("эл",АО,3,FALSE)&gt;0,VLOOKUP("эл1",АО,2,FALSE),0)</f>
        <v>0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0</v>
      </c>
      <c r="L95" s="179"/>
      <c r="O95" s="1" t="s">
        <v>111</v>
      </c>
    </row>
    <row r="96" spans="1:15" hidden="1" outlineLevel="2">
      <c r="A96" s="167">
        <f>IF(VLOOKUP("эл",АО,3,FALSE)&gt;0,VLOOKUP("эл2",АО,2,FALSE),0)</f>
        <v>0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0</v>
      </c>
      <c r="L96" s="179"/>
      <c r="O96" s="1" t="s">
        <v>112</v>
      </c>
    </row>
    <row r="97" spans="1:15" hidden="1" outlineLevel="2">
      <c r="A97" s="167">
        <f>IF(VLOOKUP("эл",АО,3,FALSE)&gt;0,VLOOKUP("эл3",АО,2,FALSE),0)</f>
        <v>0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113</v>
      </c>
    </row>
    <row r="98" spans="1:15" ht="37.5" hidden="1" customHeight="1" outlineLevel="2">
      <c r="A98" s="167">
        <f>IF(VLOOKUP("эл",АО,3,FALSE)&gt;0,VLOOKUP("эл4",АО,2,FALSE),0)</f>
        <v>0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0</v>
      </c>
      <c r="L98" s="179"/>
      <c r="O98" s="1" t="s">
        <v>114</v>
      </c>
    </row>
    <row r="99" spans="1:15" hidden="1" outlineLevel="2">
      <c r="A99" s="167">
        <f>IF(VLOOKUP("эл",АО,3,FALSE)&gt;0,VLOOKUP("эл5",АО,2,FALSE),0)</f>
        <v>0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0</v>
      </c>
      <c r="L99" s="179"/>
      <c r="O99" s="1" t="s">
        <v>115</v>
      </c>
    </row>
    <row r="100" spans="1:15" ht="39" hidden="1" customHeight="1" outlineLevel="2">
      <c r="A100" s="167">
        <f>IF(VLOOKUP("эл",АО,3,FALSE)&gt;0,VLOOKUP("эл6",АО,2,FALSE),0)</f>
        <v>0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116</v>
      </c>
    </row>
    <row r="101" spans="1:15" ht="34.5" hidden="1" customHeight="1" outlineLevel="2">
      <c r="A101" s="167">
        <f>IF(VLOOKUP("эл",АО,3,FALSE)&gt;0,VLOOKUP("эл7",АО,2,FALSE),0)</f>
        <v>0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117</v>
      </c>
    </row>
    <row r="102" spans="1:15" ht="28.5" hidden="1" customHeight="1" outlineLevel="1">
      <c r="A102" s="166">
        <f>IF(VLOOKUP("хвс",АО,3,FALSE)&gt;0,"Холодное водоснабжение",0)</f>
        <v>0</v>
      </c>
      <c r="B102" s="166"/>
      <c r="C102" s="166"/>
      <c r="D102" s="164">
        <f>IF(VLOOKUP("хвс",АО,3,FALSE)&gt;0,VLOOKUP("хвс",АО,3,FALSE),0)</f>
        <v>0</v>
      </c>
      <c r="E102" s="164"/>
      <c r="F102" s="13">
        <f>IF(VLOOKUP("хвс",АО,3,FALSE)&gt;0,VLOOKUP("хвс",АО,4,FALSE),0)</f>
        <v>0</v>
      </c>
      <c r="G102" s="163">
        <f>VLOOKUP("хвс",АО,5,FALSE)</f>
        <v>0</v>
      </c>
      <c r="H102" s="164"/>
      <c r="I102" s="164"/>
      <c r="J102" s="164"/>
      <c r="L102" s="179"/>
    </row>
    <row r="103" spans="1:15" hidden="1" outlineLevel="2">
      <c r="A103" s="167">
        <f t="shared" ref="A103:A109" si="4">IF(VLOOKUP("хвс",АО,3,FALSE)&gt;0,VLOOKUP(O103,АО,2,FALSE),0)</f>
        <v>0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0</v>
      </c>
      <c r="L103" s="179"/>
      <c r="O103" s="1" t="s">
        <v>120</v>
      </c>
    </row>
    <row r="104" spans="1:15" ht="18.75" hidden="1" customHeight="1" outlineLevel="2">
      <c r="A104" s="167">
        <f t="shared" si="4"/>
        <v>0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0</v>
      </c>
      <c r="L104" s="179"/>
      <c r="O104" s="1" t="s">
        <v>121</v>
      </c>
    </row>
    <row r="105" spans="1:15" ht="18.75" hidden="1" customHeight="1" outlineLevel="2">
      <c r="A105" s="167">
        <f t="shared" si="4"/>
        <v>0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122</v>
      </c>
    </row>
    <row r="106" spans="1:15" ht="36.75" hidden="1" customHeight="1" outlineLevel="2">
      <c r="A106" s="167">
        <f t="shared" si="4"/>
        <v>0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0</v>
      </c>
      <c r="L106" s="179"/>
      <c r="O106" s="1" t="s">
        <v>123</v>
      </c>
    </row>
    <row r="107" spans="1:15" ht="18.75" hidden="1" customHeight="1" outlineLevel="2">
      <c r="A107" s="167">
        <f t="shared" si="4"/>
        <v>0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0</v>
      </c>
      <c r="L107" s="179"/>
      <c r="O107" s="1" t="s">
        <v>124</v>
      </c>
    </row>
    <row r="108" spans="1:15" ht="37.5" hidden="1" customHeight="1" outlineLevel="2">
      <c r="A108" s="167">
        <f t="shared" si="4"/>
        <v>0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125</v>
      </c>
    </row>
    <row r="109" spans="1:15" ht="39.75" hidden="1" customHeight="1" outlineLevel="2">
      <c r="A109" s="167">
        <f t="shared" si="4"/>
        <v>0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126</v>
      </c>
    </row>
    <row r="110" spans="1:15" ht="27" hidden="1" customHeight="1" outlineLevel="1">
      <c r="A110" s="166">
        <f>IF(VLOOKUP("воо",АО,3,FALSE)&gt;0,"Водоотведение",0)</f>
        <v>0</v>
      </c>
      <c r="B110" s="166"/>
      <c r="C110" s="166"/>
      <c r="D110" s="164">
        <f>IF(VLOOKUP("воо",АО,3,FALSE)&gt;0,VLOOKUP("воо",АО,3,FALSE),0)</f>
        <v>0</v>
      </c>
      <c r="E110" s="164"/>
      <c r="F110" s="13">
        <f>IF(VLOOKUP("воо",АО,3,FALSE)&gt;0,VLOOKUP("воо",АО,4,FALSE),0)</f>
        <v>0</v>
      </c>
      <c r="G110" s="163">
        <f>VLOOKUP("воо",АО,5,FALSE)</f>
        <v>0</v>
      </c>
      <c r="H110" s="164"/>
      <c r="I110" s="164"/>
      <c r="J110" s="164"/>
      <c r="L110" s="179"/>
    </row>
    <row r="111" spans="1:15" hidden="1" outlineLevel="2">
      <c r="A111" s="161">
        <f t="shared" ref="A111:A117" si="6">IF(VLOOKUP("воо",АО,3,FALSE)&gt;0,VLOOKUP(O111,АО,2,FALSE),0)</f>
        <v>0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0</v>
      </c>
      <c r="L111" s="179"/>
      <c r="O111" s="1" t="s">
        <v>128</v>
      </c>
    </row>
    <row r="112" spans="1:15" ht="18.75" hidden="1" customHeight="1" outlineLevel="2">
      <c r="A112" s="161">
        <f t="shared" si="6"/>
        <v>0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0</v>
      </c>
      <c r="L112" s="179"/>
      <c r="O112" s="1" t="s">
        <v>129</v>
      </c>
    </row>
    <row r="113" spans="1:15" ht="19.5" hidden="1" customHeight="1" outlineLevel="2">
      <c r="A113" s="161">
        <f t="shared" si="6"/>
        <v>0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9"/>
      <c r="O113" s="1" t="s">
        <v>130</v>
      </c>
    </row>
    <row r="114" spans="1:15" ht="33" hidden="1" customHeight="1" outlineLevel="2">
      <c r="A114" s="161">
        <f t="shared" si="6"/>
        <v>0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0</v>
      </c>
      <c r="L114" s="179"/>
      <c r="O114" s="1" t="s">
        <v>131</v>
      </c>
    </row>
    <row r="115" spans="1:15" ht="18.75" hidden="1" customHeight="1" outlineLevel="2">
      <c r="A115" s="161">
        <f t="shared" si="6"/>
        <v>0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0</v>
      </c>
      <c r="L115" s="179"/>
      <c r="O115" s="1" t="s">
        <v>132</v>
      </c>
    </row>
    <row r="116" spans="1:15" ht="33.75" hidden="1" customHeight="1" outlineLevel="2">
      <c r="A116" s="161">
        <f t="shared" si="6"/>
        <v>0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133</v>
      </c>
    </row>
    <row r="117" spans="1:15" ht="32.25" hidden="1" customHeight="1" outlineLevel="2">
      <c r="A117" s="161">
        <f t="shared" si="6"/>
        <v>0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134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3">
        <f>VLOOKUP("тко",АО,5,FALSE)</f>
        <v>0</v>
      </c>
      <c r="H118" s="164"/>
      <c r="I118" s="164"/>
      <c r="J118" s="164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136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137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138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139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140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141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142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4">
        <f>IF(VLOOKUP("гвс",АО,3,FALSE)&gt;0,VLOOKUP("гвс",АО,3,FALSE),0)</f>
        <v>0</v>
      </c>
      <c r="E126" s="164"/>
      <c r="F126" s="13">
        <f>IF(VLOOKUP("гвс",АО,3,FALSE)&gt;0,VLOOKUP("гвс",АО,4,FALSE),0)</f>
        <v>0</v>
      </c>
      <c r="G126" s="163">
        <f>VLOOKUP("гвс",АО,5,FALSE)</f>
        <v>0</v>
      </c>
      <c r="H126" s="164"/>
      <c r="I126" s="164"/>
      <c r="J126" s="164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144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145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146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147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148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149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150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152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153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154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155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156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157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158</v>
      </c>
    </row>
    <row r="143" spans="1:15">
      <c r="A143" s="11" t="s">
        <v>43</v>
      </c>
    </row>
    <row r="144" spans="1:15" ht="18.75" customHeight="1" outlineLevel="1">
      <c r="A144" s="161" t="s">
        <v>44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168</v>
      </c>
    </row>
    <row r="145" spans="1:15" ht="18.75" customHeight="1" outlineLevel="1">
      <c r="A145" s="161" t="s">
        <v>45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61" t="s">
        <v>171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170</v>
      </c>
    </row>
    <row r="149" spans="1:15" ht="52.5" customHeight="1">
      <c r="A149" s="157" t="s">
        <v>175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56" t="s">
        <v>184</v>
      </c>
      <c r="B154" s="156"/>
      <c r="C154" s="156"/>
      <c r="D154" s="156"/>
      <c r="E154" s="27">
        <f>ПТО!G1</f>
        <v>-381057.03</v>
      </c>
    </row>
    <row r="155" spans="1:15" ht="34.5" customHeight="1">
      <c r="A155" s="158" t="s">
        <v>189</v>
      </c>
      <c r="B155" s="158"/>
      <c r="C155" s="158"/>
      <c r="D155" s="158"/>
      <c r="E155" s="28">
        <f>J13</f>
        <v>180630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56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Ремонт подъезда.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305889</v>
      </c>
      <c r="G158" s="154"/>
      <c r="H158" s="24" t="str">
        <f t="shared" ref="H158:H187" si="16">VLOOKUP(A158,$A$28:$J$72,8,FALSE)</f>
        <v>разово</v>
      </c>
      <c r="I158" s="155">
        <f t="shared" ref="I158:I161" si="17">VLOOKUP(A158,$A$28:$J$72,9,FALSE)</f>
        <v>1</v>
      </c>
      <c r="J158" s="155"/>
      <c r="M158" s="22" t="s">
        <v>71</v>
      </c>
      <c r="N158" s="1" t="str">
        <f t="array" ref="N158:N187">INDEX($O$43:$O$72,SMALL(IF($M$158=R43:R72,ROW(O43:O72)-42,""),ROW()-157))</f>
        <v>Ремонт подъезда.</v>
      </c>
    </row>
    <row r="159" spans="1:15" ht="28.5" customHeight="1">
      <c r="A159" s="153" t="str">
        <f t="shared" si="14"/>
        <v>Устройство крыши над приямками (2 шт.).</v>
      </c>
      <c r="B159" s="153"/>
      <c r="C159" s="153"/>
      <c r="D159" s="153"/>
      <c r="E159" s="153"/>
      <c r="F159" s="154">
        <f t="shared" si="15"/>
        <v>44900</v>
      </c>
      <c r="G159" s="154"/>
      <c r="H159" s="24" t="str">
        <f t="shared" si="16"/>
        <v>разово</v>
      </c>
      <c r="I159" s="155">
        <f t="shared" si="17"/>
        <v>1</v>
      </c>
      <c r="J159" s="155"/>
      <c r="M159" s="22" t="s">
        <v>71</v>
      </c>
      <c r="N159" s="1" t="str">
        <v>Устройство крыши над приямками (2 шт.).</v>
      </c>
    </row>
    <row r="160" spans="1:15" ht="28.5" customHeight="1">
      <c r="A160" s="153" t="str">
        <f t="shared" si="14"/>
        <v>Диагностика прибора учета тепловой энергии.</v>
      </c>
      <c r="B160" s="153"/>
      <c r="C160" s="153"/>
      <c r="D160" s="153"/>
      <c r="E160" s="153"/>
      <c r="F160" s="154">
        <f t="shared" si="15"/>
        <v>1782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71</v>
      </c>
      <c r="N160" s="1" t="str">
        <v>Диагностика прибора учета тепловой энергии.</v>
      </c>
    </row>
    <row r="161" spans="1:14" ht="28.5" customHeight="1">
      <c r="A161" s="153" t="str">
        <f>IF(N161&gt;0,N161,0)</f>
        <v>Замена блока питания на прибор учета тепловой энергии.</v>
      </c>
      <c r="B161" s="153"/>
      <c r="C161" s="153"/>
      <c r="D161" s="153"/>
      <c r="E161" s="153"/>
      <c r="F161" s="154">
        <f t="shared" si="15"/>
        <v>2477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71</v>
      </c>
      <c r="N161" s="1" t="str">
        <v>Замена блока питания на прибор учета тепловой энергии.</v>
      </c>
    </row>
    <row r="162" spans="1:14" ht="28.5" customHeight="1">
      <c r="A162" s="153" t="str">
        <f t="shared" si="14"/>
        <v>Приобретение запорной арматуры в ИТП.</v>
      </c>
      <c r="B162" s="153"/>
      <c r="C162" s="153"/>
      <c r="D162" s="153"/>
      <c r="E162" s="153"/>
      <c r="F162" s="154">
        <f t="shared" si="15"/>
        <v>503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71</v>
      </c>
      <c r="N162" s="1" t="str">
        <v>Приобретение запорной арматуры в ИТП.</v>
      </c>
    </row>
    <row r="163" spans="1:14" ht="28.5" customHeight="1">
      <c r="A163" s="153" t="str">
        <f t="shared" si="14"/>
        <v>Механизированная уборка и вывоз снега с придомовой территории.</v>
      </c>
      <c r="B163" s="153"/>
      <c r="C163" s="153"/>
      <c r="D163" s="153"/>
      <c r="E163" s="153"/>
      <c r="F163" s="154">
        <f t="shared" si="15"/>
        <v>10118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71</v>
      </c>
      <c r="N163" s="1" t="str">
        <v>Механизированная уборка и вывоз снега с придомовой территории.</v>
      </c>
    </row>
    <row r="164" spans="1:14" ht="28.5" customHeight="1">
      <c r="A164" s="153" t="str">
        <f t="shared" ref="A164:A187" si="18">IF(N164&gt;0,N164,0)</f>
        <v>Пуско-наладочные работы комплекта термопреобразователя сопротивления.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890</v>
      </c>
      <c r="G164" s="154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71</v>
      </c>
      <c r="N164" s="1" t="str">
        <v>Пуско-наладочные работы комплекта термопреобразователя сопротивления.</v>
      </c>
    </row>
    <row r="165" spans="1:14" ht="28.5" customHeight="1">
      <c r="A165" s="153" t="str">
        <f t="shared" si="18"/>
        <v>Приобретение и замена контактора и платы питания пассажирского лифта.</v>
      </c>
      <c r="B165" s="153"/>
      <c r="C165" s="153"/>
      <c r="D165" s="153"/>
      <c r="E165" s="153"/>
      <c r="F165" s="154">
        <f t="shared" si="19"/>
        <v>8050</v>
      </c>
      <c r="G165" s="154"/>
      <c r="H165" s="29" t="str">
        <f t="shared" si="16"/>
        <v>разово</v>
      </c>
      <c r="I165" s="155">
        <f t="shared" si="20"/>
        <v>1</v>
      </c>
      <c r="J165" s="155"/>
      <c r="M165" s="22" t="s">
        <v>71</v>
      </c>
      <c r="N165" s="1" t="str">
        <v>Приобретение и замена контактора и платы питания пассажирского лифта.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4">
        <f t="shared" si="19"/>
        <v>0</v>
      </c>
      <c r="G166" s="154"/>
      <c r="H166" s="29" t="e">
        <f t="shared" si="16"/>
        <v>#N/A</v>
      </c>
      <c r="I166" s="155" t="e">
        <f t="shared" si="20"/>
        <v>#N/A</v>
      </c>
      <c r="J166" s="155"/>
      <c r="M166" s="22" t="s">
        <v>71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4">
        <f t="shared" si="19"/>
        <v>0</v>
      </c>
      <c r="G167" s="154"/>
      <c r="H167" s="29" t="e">
        <f t="shared" si="16"/>
        <v>#N/A</v>
      </c>
      <c r="I167" s="155" t="e">
        <f t="shared" si="20"/>
        <v>#N/A</v>
      </c>
      <c r="J167" s="155"/>
      <c r="M167" s="22" t="s">
        <v>71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4">
        <f t="shared" si="19"/>
        <v>0</v>
      </c>
      <c r="G168" s="154"/>
      <c r="H168" s="29" t="e">
        <f t="shared" si="16"/>
        <v>#N/A</v>
      </c>
      <c r="I168" s="155" t="e">
        <f t="shared" si="20"/>
        <v>#N/A</v>
      </c>
      <c r="J168" s="155"/>
      <c r="M168" s="22" t="s">
        <v>71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4">
        <f t="shared" si="19"/>
        <v>0</v>
      </c>
      <c r="G169" s="154"/>
      <c r="H169" s="29" t="e">
        <f t="shared" si="16"/>
        <v>#N/A</v>
      </c>
      <c r="I169" s="155" t="e">
        <f t="shared" si="20"/>
        <v>#N/A</v>
      </c>
      <c r="J169" s="155"/>
      <c r="M169" s="22" t="s">
        <v>71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4">
        <f t="shared" si="19"/>
        <v>0</v>
      </c>
      <c r="G170" s="154"/>
      <c r="H170" s="29" t="e">
        <f t="shared" si="16"/>
        <v>#N/A</v>
      </c>
      <c r="I170" s="155" t="e">
        <f t="shared" si="20"/>
        <v>#N/A</v>
      </c>
      <c r="J170" s="155"/>
      <c r="M170" s="22" t="s">
        <v>71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4">
        <f t="shared" si="19"/>
        <v>0</v>
      </c>
      <c r="G171" s="154"/>
      <c r="H171" s="29" t="e">
        <f t="shared" si="16"/>
        <v>#N/A</v>
      </c>
      <c r="I171" s="155" t="e">
        <f t="shared" si="20"/>
        <v>#N/A</v>
      </c>
      <c r="J171" s="155"/>
      <c r="M171" s="22" t="s">
        <v>71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4">
        <f t="shared" si="19"/>
        <v>0</v>
      </c>
      <c r="G172" s="154"/>
      <c r="H172" s="29" t="e">
        <f t="shared" si="16"/>
        <v>#N/A</v>
      </c>
      <c r="I172" s="155" t="e">
        <f t="shared" si="20"/>
        <v>#N/A</v>
      </c>
      <c r="J172" s="155"/>
      <c r="M172" s="22" t="s">
        <v>71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4">
        <f t="shared" si="19"/>
        <v>0</v>
      </c>
      <c r="G173" s="154"/>
      <c r="H173" s="29" t="e">
        <f t="shared" si="16"/>
        <v>#N/A</v>
      </c>
      <c r="I173" s="155" t="e">
        <f t="shared" si="20"/>
        <v>#N/A</v>
      </c>
      <c r="J173" s="155"/>
      <c r="M173" s="22" t="s">
        <v>71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71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71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71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71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71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71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71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71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71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71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71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71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71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71</v>
      </c>
      <c r="N187" s="1">
        <v>0</v>
      </c>
    </row>
    <row r="188" spans="1:14" ht="29.25" customHeight="1">
      <c r="A188" s="104" t="s">
        <v>172</v>
      </c>
    </row>
    <row r="189" spans="1:14" ht="29.25" customHeight="1">
      <c r="A189" s="104" t="s">
        <v>172</v>
      </c>
    </row>
    <row r="190" spans="1:14" ht="36.75" customHeight="1">
      <c r="A190" s="156" t="s">
        <v>188</v>
      </c>
      <c r="B190" s="156"/>
      <c r="C190" s="156"/>
      <c r="D190" s="156"/>
      <c r="E190" s="27">
        <f>SUM(F158:G187)</f>
        <v>374609</v>
      </c>
    </row>
    <row r="191" spans="1:14" ht="51.75" customHeight="1">
      <c r="A191" s="156" t="s">
        <v>187</v>
      </c>
      <c r="B191" s="156"/>
      <c r="C191" s="156"/>
      <c r="D191" s="156"/>
      <c r="E191" s="27">
        <f>E190+E154-E155</f>
        <v>-187078.03000000003</v>
      </c>
    </row>
    <row r="192" spans="1:14">
      <c r="A192" s="104" t="s">
        <v>172</v>
      </c>
    </row>
    <row r="193" spans="1:10" ht="62.25" customHeight="1">
      <c r="A193" s="181" t="s">
        <v>185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73</v>
      </c>
    </row>
    <row r="195" spans="1:10" ht="18.75" customHeight="1">
      <c r="A195" s="180" t="str">
        <f>ПТО!F13</f>
        <v xml:space="preserve">  -  ремонт крыльца </v>
      </c>
      <c r="B195" s="180"/>
      <c r="C195" s="180"/>
      <c r="D195" s="180"/>
      <c r="E195" s="180"/>
      <c r="F195" s="180"/>
      <c r="G195" s="180"/>
      <c r="H195" s="49">
        <f>ПТО!G13</f>
        <v>60000</v>
      </c>
      <c r="I195" s="50" t="s">
        <v>73</v>
      </c>
    </row>
    <row r="196" spans="1:10" ht="18.75" hidden="1" customHeight="1">
      <c r="A196" s="180">
        <f>ПТО!F14</f>
        <v>0</v>
      </c>
      <c r="B196" s="180"/>
      <c r="C196" s="180"/>
      <c r="D196" s="180"/>
      <c r="E196" s="180"/>
      <c r="F196" s="180"/>
      <c r="G196" s="180"/>
      <c r="H196" s="49">
        <f>ПТО!G14</f>
        <v>0</v>
      </c>
      <c r="I196" s="50" t="s">
        <v>73</v>
      </c>
    </row>
    <row r="197" spans="1:10" ht="18.75" hidden="1" customHeight="1">
      <c r="A197" s="180">
        <f>ПТО!F15</f>
        <v>0</v>
      </c>
      <c r="B197" s="180"/>
      <c r="C197" s="180"/>
      <c r="D197" s="180"/>
      <c r="E197" s="180"/>
      <c r="F197" s="180"/>
      <c r="G197" s="180"/>
      <c r="H197" s="49">
        <f>ПТО!G15</f>
        <v>0</v>
      </c>
      <c r="I197" s="50" t="s">
        <v>73</v>
      </c>
    </row>
    <row r="198" spans="1:10" ht="18.75" hidden="1" customHeight="1">
      <c r="A198" s="180">
        <f>ПТО!F16</f>
        <v>0</v>
      </c>
      <c r="B198" s="180"/>
      <c r="C198" s="180"/>
      <c r="D198" s="180"/>
      <c r="E198" s="180"/>
      <c r="F198" s="180"/>
      <c r="G198" s="180"/>
      <c r="H198" s="49">
        <f>ПТО!G16</f>
        <v>0</v>
      </c>
      <c r="I198" s="52" t="s">
        <v>73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73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73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73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73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73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73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73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73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73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73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73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73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73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73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73</v>
      </c>
    </row>
    <row r="214" spans="1:9">
      <c r="A214" s="53" t="s">
        <v>74</v>
      </c>
      <c r="B214" s="54"/>
      <c r="C214" s="54"/>
      <c r="D214" s="54"/>
      <c r="E214" s="54"/>
      <c r="F214" s="54"/>
      <c r="G214" s="54"/>
      <c r="H214" s="55">
        <f>SUM(H194:H213)</f>
        <v>61200</v>
      </c>
      <c r="I214" s="56" t="s">
        <v>75</v>
      </c>
    </row>
  </sheetData>
  <sheetProtection algorithmName="SHA-512" hashValue="J9lPg9Rec8p5I+DIv65Mctbli4PR/sJKpfaIekjT+pEAiYQ5e4whu5SWGgpWRYMxNQaSa2CC+kqyDrKQXYtZUA==" saltValue="F+QrqA5+x5FtXs0Q0EecMw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8" sqref="A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74.8554687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25" t="s">
        <v>19</v>
      </c>
      <c r="B1" s="125" t="s">
        <v>56</v>
      </c>
      <c r="C1" s="125" t="s">
        <v>21</v>
      </c>
      <c r="D1" s="125" t="s">
        <v>20</v>
      </c>
      <c r="E1" s="126"/>
      <c r="F1" s="100" t="s">
        <v>184</v>
      </c>
      <c r="G1" s="101">
        <v>-381057.03</v>
      </c>
    </row>
    <row r="2" spans="1:12" ht="18.75" customHeight="1">
      <c r="A2" s="127" t="s">
        <v>182</v>
      </c>
      <c r="B2" s="128" t="s">
        <v>177</v>
      </c>
      <c r="C2" s="129">
        <v>1</v>
      </c>
      <c r="D2" s="130">
        <v>305889</v>
      </c>
      <c r="E2" s="131" t="s">
        <v>190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191</v>
      </c>
      <c r="B3" s="133" t="s">
        <v>177</v>
      </c>
      <c r="C3" s="133">
        <v>1</v>
      </c>
      <c r="D3" s="134">
        <v>44900</v>
      </c>
      <c r="E3" s="135" t="s">
        <v>198</v>
      </c>
      <c r="F3" s="30"/>
      <c r="G3" s="30"/>
      <c r="L3" s="33" t="str">
        <f t="shared" si="0"/>
        <v>ТР</v>
      </c>
    </row>
    <row r="4" spans="1:12" ht="18.75" customHeight="1">
      <c r="A4" s="136" t="s">
        <v>192</v>
      </c>
      <c r="B4" s="137" t="s">
        <v>177</v>
      </c>
      <c r="C4" s="138">
        <v>1</v>
      </c>
      <c r="D4" s="139">
        <v>1782</v>
      </c>
      <c r="E4" s="134" t="s">
        <v>193</v>
      </c>
      <c r="F4" s="30"/>
      <c r="G4" s="30"/>
      <c r="L4" s="33" t="str">
        <f t="shared" si="0"/>
        <v>ТР</v>
      </c>
    </row>
    <row r="5" spans="1:12" ht="30" customHeight="1">
      <c r="A5" s="140" t="s">
        <v>194</v>
      </c>
      <c r="B5" s="141" t="s">
        <v>177</v>
      </c>
      <c r="C5" s="142">
        <v>1</v>
      </c>
      <c r="D5" s="143">
        <v>2477</v>
      </c>
      <c r="E5" s="134" t="s">
        <v>195</v>
      </c>
      <c r="F5" s="44"/>
      <c r="G5" s="44"/>
      <c r="K5" s="46"/>
      <c r="L5" s="33" t="str">
        <f t="shared" si="0"/>
        <v>ТР</v>
      </c>
    </row>
    <row r="6" spans="1:12" ht="18.75" customHeight="1">
      <c r="A6" s="136" t="s">
        <v>196</v>
      </c>
      <c r="B6" s="137" t="s">
        <v>177</v>
      </c>
      <c r="C6" s="138">
        <v>1</v>
      </c>
      <c r="D6" s="139">
        <v>503</v>
      </c>
      <c r="E6" s="134" t="s">
        <v>197</v>
      </c>
      <c r="F6" s="44"/>
      <c r="G6" s="44"/>
      <c r="K6" s="46"/>
      <c r="L6" s="33" t="str">
        <f t="shared" si="0"/>
        <v>ТР</v>
      </c>
    </row>
    <row r="7" spans="1:12" ht="30" customHeight="1">
      <c r="A7" s="144" t="s">
        <v>181</v>
      </c>
      <c r="B7" s="137" t="s">
        <v>177</v>
      </c>
      <c r="C7" s="138">
        <v>1</v>
      </c>
      <c r="D7" s="139">
        <v>10118</v>
      </c>
      <c r="E7" s="134" t="s">
        <v>199</v>
      </c>
      <c r="F7" s="45"/>
      <c r="G7" s="45"/>
      <c r="K7" s="46"/>
      <c r="L7" s="33" t="str">
        <f t="shared" si="0"/>
        <v>ТР</v>
      </c>
    </row>
    <row r="8" spans="1:12" ht="18.75" customHeight="1">
      <c r="A8" s="152" t="s">
        <v>205</v>
      </c>
      <c r="B8" s="133" t="s">
        <v>177</v>
      </c>
      <c r="C8" s="145">
        <v>1</v>
      </c>
      <c r="D8" s="146">
        <v>890</v>
      </c>
      <c r="E8" s="134" t="s">
        <v>201</v>
      </c>
      <c r="F8" s="45"/>
      <c r="G8" s="45"/>
      <c r="K8" s="43"/>
      <c r="L8" s="33" t="str">
        <f t="shared" si="0"/>
        <v>ТР</v>
      </c>
    </row>
    <row r="9" spans="1:12">
      <c r="A9" s="147" t="s">
        <v>200</v>
      </c>
      <c r="B9" s="148" t="s">
        <v>177</v>
      </c>
      <c r="C9" s="138">
        <v>1</v>
      </c>
      <c r="D9" s="139">
        <v>8050</v>
      </c>
      <c r="E9" s="134" t="s">
        <v>202</v>
      </c>
      <c r="F9" s="44"/>
      <c r="G9" s="44"/>
      <c r="K9" s="43"/>
      <c r="L9" s="33" t="str">
        <f t="shared" si="0"/>
        <v>ТР</v>
      </c>
    </row>
    <row r="10" spans="1:12">
      <c r="A10" s="150"/>
      <c r="B10" s="151"/>
      <c r="C10" s="138"/>
      <c r="D10" s="139"/>
      <c r="E10" s="134"/>
      <c r="L10" s="33">
        <f t="shared" si="0"/>
        <v>0</v>
      </c>
    </row>
    <row r="11" spans="1:12" ht="94.5">
      <c r="A11" s="30"/>
      <c r="F11" s="111" t="s">
        <v>185</v>
      </c>
      <c r="G11" s="111"/>
      <c r="L11" s="33">
        <f t="shared" si="0"/>
        <v>0</v>
      </c>
    </row>
    <row r="12" spans="1:12" ht="31.5">
      <c r="A12" s="30"/>
      <c r="F12" s="112" t="s">
        <v>72</v>
      </c>
      <c r="G12" s="113">
        <v>1200</v>
      </c>
      <c r="L12" s="33">
        <f t="shared" si="0"/>
        <v>0</v>
      </c>
    </row>
    <row r="13" spans="1:12" ht="15.75">
      <c r="A13" s="30"/>
      <c r="F13" s="112" t="s">
        <v>186</v>
      </c>
      <c r="G13" s="113">
        <v>60000</v>
      </c>
      <c r="L13" s="33">
        <f t="shared" si="0"/>
        <v>0</v>
      </c>
    </row>
    <row r="14" spans="1:12" ht="15.75">
      <c r="A14" s="30"/>
      <c r="F14" s="112"/>
      <c r="G14" s="113"/>
      <c r="L14" s="33">
        <f t="shared" si="0"/>
        <v>0</v>
      </c>
    </row>
    <row r="15" spans="1:12" ht="15.75">
      <c r="A15" s="30"/>
      <c r="F15" s="118"/>
      <c r="G15" s="114"/>
      <c r="L15" s="33">
        <f t="shared" si="0"/>
        <v>0</v>
      </c>
    </row>
    <row r="16" spans="1:12" ht="15.75">
      <c r="A16" s="30"/>
      <c r="F16" s="118"/>
      <c r="G16" s="114"/>
      <c r="L16" s="33">
        <f t="shared" si="0"/>
        <v>0</v>
      </c>
    </row>
    <row r="17" spans="1:12" ht="15.75">
      <c r="A17" s="30"/>
      <c r="F17" s="118"/>
      <c r="G17" s="114"/>
      <c r="L17" s="33">
        <f t="shared" si="0"/>
        <v>0</v>
      </c>
    </row>
    <row r="18" spans="1:12" ht="15.75">
      <c r="A18" s="30"/>
      <c r="F18" s="118"/>
      <c r="G18" s="114"/>
      <c r="L18" s="33">
        <f t="shared" si="0"/>
        <v>0</v>
      </c>
    </row>
    <row r="19" spans="1:12" ht="15.75">
      <c r="A19" s="30"/>
      <c r="F19" s="112"/>
      <c r="G19" s="114"/>
      <c r="L19" s="33">
        <f t="shared" si="0"/>
        <v>0</v>
      </c>
    </row>
    <row r="20" spans="1:12" ht="15.75">
      <c r="A20" s="30"/>
      <c r="F20" s="120"/>
      <c r="G20" s="119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F39*G39*'Абонентский отдел'!$F$1+ПТО!H39*ПТО!I39*'Абонентский отдел'!$F$1</f>
        <v>235902.78000000003</v>
      </c>
      <c r="C39" s="38" t="s">
        <v>67</v>
      </c>
      <c r="D39" s="39">
        <v>12</v>
      </c>
      <c r="E39" s="34"/>
      <c r="F39" s="121">
        <v>6.53</v>
      </c>
      <c r="G39" s="123">
        <v>5</v>
      </c>
      <c r="H39" s="123">
        <v>6.53</v>
      </c>
      <c r="I39" s="123">
        <v>7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235902.78000000003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f>F40*G40*'Абонентский отдел'!$F$1+ПТО!H40*ПТО!I40*'Абонентский отдел'!$F$1</f>
        <v>60330.42</v>
      </c>
      <c r="C40" s="38" t="s">
        <v>67</v>
      </c>
      <c r="D40" s="39">
        <v>12</v>
      </c>
      <c r="E40" s="34"/>
      <c r="F40" s="121">
        <v>1.53</v>
      </c>
      <c r="G40" s="123">
        <v>5</v>
      </c>
      <c r="H40" s="123">
        <v>1.77</v>
      </c>
      <c r="I40" s="123">
        <v>7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60330.42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203</v>
      </c>
      <c r="B41" s="38">
        <f>F41*G41*'Абонентский отдел'!$F$1+ПТО!H41*ПТО!I41*'Абонентский отдел'!$F$1</f>
        <v>63852.704999999994</v>
      </c>
      <c r="C41" s="38" t="s">
        <v>68</v>
      </c>
      <c r="D41" s="39">
        <v>12</v>
      </c>
      <c r="E41" s="34"/>
      <c r="F41" s="121">
        <v>1.4</v>
      </c>
      <c r="G41" s="123">
        <v>5</v>
      </c>
      <c r="H41" s="123">
        <v>2.0299999999999998</v>
      </c>
      <c r="I41" s="123">
        <v>7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63852.704999999994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F42*G42*'Абонентский отдел'!$F$1+ПТО!H42*ПТО!I42*'Абонентский отдел'!$F$1</f>
        <v>50576.399999999994</v>
      </c>
      <c r="C42" s="38" t="s">
        <v>67</v>
      </c>
      <c r="D42" s="39">
        <v>12</v>
      </c>
      <c r="E42" s="34"/>
      <c r="F42" s="149">
        <v>1.4</v>
      </c>
      <c r="G42" s="123">
        <v>5</v>
      </c>
      <c r="H42" s="123">
        <v>1.4</v>
      </c>
      <c r="I42" s="123">
        <v>7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50576.399999999994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>
        <v>12</v>
      </c>
      <c r="E43" s="34"/>
      <c r="F43" s="121"/>
      <c r="G43" s="123"/>
      <c r="H43" s="123"/>
      <c r="I43" s="123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12</v>
      </c>
    </row>
    <row r="44" spans="1:16" ht="25.5">
      <c r="A44" s="37" t="s">
        <v>24</v>
      </c>
      <c r="B44" s="38">
        <f>F44*G44*'Абонентский отдел'!$F$1+ПТО!H44*ПТО!I44*'Абонентский отдел'!$F$1</f>
        <v>12644.099999999999</v>
      </c>
      <c r="C44" s="38" t="s">
        <v>69</v>
      </c>
      <c r="D44" s="39">
        <v>12</v>
      </c>
      <c r="E44" s="34"/>
      <c r="F44" s="149">
        <v>0.35</v>
      </c>
      <c r="G44" s="123">
        <v>5</v>
      </c>
      <c r="H44" s="123">
        <v>0.35</v>
      </c>
      <c r="I44" s="123">
        <v>7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12644.099999999999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F45*G45*'Абонентский отдел'!$F$1+ПТО!H45*ПТО!I45*'Абонентский отдел'!$F$1</f>
        <v>71499.375</v>
      </c>
      <c r="C45" s="38" t="s">
        <v>68</v>
      </c>
      <c r="D45" s="39">
        <v>12</v>
      </c>
      <c r="E45" s="34"/>
      <c r="F45" s="149">
        <v>1.88</v>
      </c>
      <c r="G45" s="123">
        <v>5</v>
      </c>
      <c r="H45" s="123">
        <v>2.0499999999999998</v>
      </c>
      <c r="I45" s="123">
        <v>7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71499.375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204</v>
      </c>
      <c r="B46" s="38">
        <f>F46*G46*'Абонентский отдел'!$F$1+ПТО!H46*ПТО!I46*'Абонентский отдел'!$F$1</f>
        <v>31790.880000000001</v>
      </c>
      <c r="C46" s="38" t="s">
        <v>67</v>
      </c>
      <c r="D46" s="39">
        <v>12</v>
      </c>
      <c r="F46" s="149">
        <v>0.88</v>
      </c>
      <c r="G46" s="123">
        <v>5</v>
      </c>
      <c r="H46" s="123">
        <v>0.88</v>
      </c>
      <c r="I46" s="123">
        <v>7</v>
      </c>
      <c r="L46" s="40" t="str">
        <f t="shared" si="2"/>
        <v>СОД</v>
      </c>
      <c r="M46" t="str">
        <f t="shared" si="3"/>
        <v xml:space="preserve">Тех. обслуживание видеонаблюдения </v>
      </c>
      <c r="N46" s="41">
        <f t="shared" si="4"/>
        <v>31790.880000000001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1"/>
      <c r="C47" s="122"/>
      <c r="D47" s="48"/>
      <c r="E47" s="121"/>
      <c r="F47" s="121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3"/>
      <c r="F52" s="123"/>
      <c r="G52" s="123"/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3"/>
      <c r="F53" s="121"/>
      <c r="G53" s="123"/>
      <c r="H53" s="123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3"/>
      <c r="F54" s="123"/>
      <c r="G54" s="123"/>
      <c r="H54" s="123"/>
    </row>
    <row r="55" spans="5:16">
      <c r="E55" s="123"/>
      <c r="F55" s="123"/>
      <c r="G55" s="123"/>
      <c r="H55" s="123"/>
    </row>
    <row r="56" spans="5:16">
      <c r="E56" s="123"/>
      <c r="F56" s="123"/>
      <c r="G56" s="123"/>
      <c r="H56" s="123"/>
    </row>
    <row r="57" spans="5:16">
      <c r="E57" s="123"/>
      <c r="F57" s="123"/>
      <c r="G57" s="123"/>
      <c r="H57" s="123"/>
    </row>
    <row r="58" spans="5:16">
      <c r="E58" s="123"/>
      <c r="F58" s="123"/>
      <c r="G58" s="123"/>
      <c r="H58" s="123"/>
    </row>
    <row r="59" spans="5:16">
      <c r="E59" s="123"/>
      <c r="F59" s="121"/>
      <c r="G59" s="123"/>
      <c r="H59" s="123"/>
    </row>
    <row r="60" spans="5:16">
      <c r="E60" s="123"/>
      <c r="F60" s="123"/>
      <c r="G60" s="123"/>
      <c r="H60" s="123"/>
    </row>
    <row r="61" spans="5:16">
      <c r="E61" s="123"/>
      <c r="F61" s="123"/>
      <c r="G61" s="123"/>
      <c r="H61" s="123"/>
    </row>
    <row r="62" spans="5:16">
      <c r="E62" s="123"/>
      <c r="F62" s="123"/>
      <c r="G62" s="123"/>
      <c r="H62" s="123"/>
    </row>
    <row r="63" spans="5:16">
      <c r="E63" s="123"/>
      <c r="F63" s="121"/>
      <c r="G63" s="123"/>
      <c r="H63" s="123"/>
    </row>
    <row r="64" spans="5:16">
      <c r="E64" s="123"/>
      <c r="F64" s="123"/>
      <c r="G64" s="123"/>
      <c r="H64" s="123"/>
    </row>
    <row r="65" spans="4:13" ht="18.75" customHeight="1">
      <c r="E65" s="123"/>
      <c r="F65" s="123"/>
      <c r="G65" s="123"/>
      <c r="H65" s="123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I5RVjXJPIY2IgBNOUspmakHIiPHtCYjY+OK+CYSYCL3nwBISbI3yb0KBwlp738o+MKChFIT4WcYGFqI2C169g==" saltValue="Wx45TySOHV80DU4k3/P5s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176</v>
      </c>
      <c r="F1" s="60">
        <v>3010.5</v>
      </c>
    </row>
    <row r="2" spans="1:10" ht="15.75" customHeight="1">
      <c r="A2" s="70" t="s">
        <v>80</v>
      </c>
      <c r="B2" s="72" t="s">
        <v>2</v>
      </c>
      <c r="C2" s="83">
        <v>0</v>
      </c>
      <c r="D2" s="81" t="s">
        <v>57</v>
      </c>
      <c r="E2" s="61">
        <v>196.2</v>
      </c>
      <c r="F2" s="61" t="s">
        <v>178</v>
      </c>
      <c r="G2" s="61"/>
      <c r="H2" s="61"/>
      <c r="I2" s="61"/>
      <c r="J2" s="61"/>
    </row>
    <row r="3" spans="1:10" ht="15.75" customHeight="1">
      <c r="A3" s="70" t="s">
        <v>81</v>
      </c>
      <c r="B3" s="72" t="s">
        <v>3</v>
      </c>
      <c r="C3" s="79">
        <v>0</v>
      </c>
      <c r="D3" s="80" t="s">
        <v>58</v>
      </c>
      <c r="E3" s="61">
        <v>4.8</v>
      </c>
      <c r="F3" s="61" t="s">
        <v>179</v>
      </c>
      <c r="G3" s="61"/>
      <c r="H3" s="61"/>
      <c r="I3" s="61"/>
      <c r="J3" s="61"/>
    </row>
    <row r="4" spans="1:10" ht="15.75" customHeight="1">
      <c r="A4" s="70" t="s">
        <v>82</v>
      </c>
      <c r="B4" s="72" t="s">
        <v>4</v>
      </c>
      <c r="C4" s="83">
        <v>197735</v>
      </c>
      <c r="D4" s="81" t="s">
        <v>59</v>
      </c>
      <c r="E4" s="61">
        <v>-58365.34</v>
      </c>
      <c r="F4" s="61" t="s">
        <v>180</v>
      </c>
      <c r="G4" s="61"/>
      <c r="H4" s="61"/>
      <c r="I4" s="61"/>
      <c r="J4" s="61"/>
    </row>
    <row r="5" spans="1:10" ht="15.75" customHeight="1">
      <c r="A5" s="70" t="s">
        <v>83</v>
      </c>
      <c r="B5" s="72" t="s">
        <v>5</v>
      </c>
      <c r="C5" s="79">
        <f>SUM(C6:C8)</f>
        <v>909083.30999999994</v>
      </c>
      <c r="D5" s="80" t="s">
        <v>58</v>
      </c>
      <c r="E5" s="61"/>
      <c r="F5" s="124" t="s">
        <v>183</v>
      </c>
      <c r="G5" s="61"/>
      <c r="H5" s="61"/>
      <c r="I5" s="61"/>
      <c r="J5" s="61"/>
    </row>
    <row r="6" spans="1:10" ht="15.75" customHeight="1">
      <c r="A6" s="70" t="s">
        <v>84</v>
      </c>
      <c r="B6" s="72" t="s">
        <v>6</v>
      </c>
      <c r="C6" s="83">
        <v>559654.71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85</v>
      </c>
      <c r="B7" s="72" t="s">
        <v>7</v>
      </c>
      <c r="C7" s="83">
        <f>(F1*5*12)</f>
        <v>180630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86</v>
      </c>
      <c r="B8" s="72" t="s">
        <v>8</v>
      </c>
      <c r="C8" s="83">
        <v>168798.6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87</v>
      </c>
      <c r="B9" s="72" t="s">
        <v>9</v>
      </c>
      <c r="C9" s="79">
        <f>SUM(C10:C14)</f>
        <v>938009.51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88</v>
      </c>
      <c r="B10" s="72" t="s">
        <v>10</v>
      </c>
      <c r="C10" s="83">
        <v>938009.51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89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90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91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92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93</v>
      </c>
      <c r="B15" s="72" t="s">
        <v>15</v>
      </c>
      <c r="C15" s="79">
        <f>C9</f>
        <v>938009.51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94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95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96</v>
      </c>
      <c r="B18" s="72" t="s">
        <v>18</v>
      </c>
      <c r="C18" s="79">
        <f>IF(C16&gt;0,0,IF(C4&gt;0,C4+C5-C9,C5-C2-C9))</f>
        <v>168808.80000000005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159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97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98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99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100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160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101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102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103</v>
      </c>
      <c r="B27" s="75" t="s">
        <v>4</v>
      </c>
      <c r="C27" s="86">
        <v>1903.57</v>
      </c>
      <c r="D27" s="81" t="s">
        <v>59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104</v>
      </c>
      <c r="B28" s="75" t="s">
        <v>16</v>
      </c>
      <c r="C28" s="86">
        <v>13620.31</v>
      </c>
      <c r="D28" s="81" t="s">
        <v>64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105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106</v>
      </c>
      <c r="B30" s="75" t="s">
        <v>18</v>
      </c>
      <c r="C30" s="86">
        <v>0</v>
      </c>
      <c r="D30" s="81" t="s">
        <v>65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107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108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109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110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3"/>
      <c r="N34" s="63"/>
    </row>
    <row r="35" spans="1:15" ht="18.75" hidden="1">
      <c r="A35" s="73" t="s">
        <v>161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 hidden="1">
      <c r="A36" s="73" t="s">
        <v>162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118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165</v>
      </c>
      <c r="G37" s="66"/>
      <c r="H37" s="66"/>
      <c r="I37" s="66"/>
      <c r="L37" s="63"/>
      <c r="M37" s="182"/>
      <c r="N37" s="63"/>
      <c r="O37" s="63"/>
    </row>
    <row r="38" spans="1:15" ht="18.75" hidden="1" customHeight="1">
      <c r="A38" s="70" t="s">
        <v>111</v>
      </c>
      <c r="B38" s="78" t="s">
        <v>36</v>
      </c>
      <c r="C38" s="90"/>
      <c r="D38" s="94" t="s">
        <v>163</v>
      </c>
      <c r="E38" s="68"/>
      <c r="G38" s="67"/>
      <c r="H38" s="67"/>
      <c r="L38" s="63"/>
      <c r="M38" s="182"/>
      <c r="N38" s="63"/>
      <c r="O38" s="63"/>
    </row>
    <row r="39" spans="1:15" ht="18.75" hidden="1" customHeight="1">
      <c r="A39" s="70" t="s">
        <v>112</v>
      </c>
      <c r="B39" s="78" t="s">
        <v>37</v>
      </c>
      <c r="C39" s="91"/>
      <c r="D39" s="94" t="s">
        <v>164</v>
      </c>
      <c r="E39" s="68"/>
      <c r="G39" s="67"/>
      <c r="H39" s="67"/>
      <c r="L39" s="63"/>
      <c r="M39" s="182"/>
      <c r="N39" s="63"/>
      <c r="O39" s="63"/>
    </row>
    <row r="40" spans="1:15" ht="18.75" hidden="1" customHeight="1">
      <c r="A40" s="70" t="s">
        <v>113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82"/>
      <c r="N40" s="63"/>
      <c r="O40" s="63"/>
    </row>
    <row r="41" spans="1:15" ht="18.75" hidden="1" customHeight="1">
      <c r="A41" s="70" t="s">
        <v>114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82"/>
      <c r="N41" s="63"/>
      <c r="O41" s="63"/>
    </row>
    <row r="42" spans="1:15" ht="18.75" hidden="1" customHeight="1">
      <c r="A42" s="70" t="s">
        <v>115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82"/>
      <c r="N42" s="63"/>
      <c r="O42" s="63"/>
    </row>
    <row r="43" spans="1:15" ht="18.75" hidden="1" customHeight="1">
      <c r="A43" s="70" t="s">
        <v>116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2"/>
      <c r="N43" s="63"/>
      <c r="O43" s="63"/>
    </row>
    <row r="44" spans="1:15" ht="30" hidden="1" customHeight="1">
      <c r="A44" s="70" t="s">
        <v>117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2"/>
      <c r="N44" s="63"/>
      <c r="O44" s="63"/>
    </row>
    <row r="45" spans="1:15" ht="18.75" hidden="1">
      <c r="A45" s="73" t="s">
        <v>119</v>
      </c>
      <c r="B45" s="77" t="s">
        <v>53</v>
      </c>
      <c r="C45" s="96">
        <f>IF(E45&gt;0,"Предоставляется",0)</f>
        <v>0</v>
      </c>
      <c r="D45" s="96" t="s">
        <v>54</v>
      </c>
      <c r="E45" s="95"/>
      <c r="F45" s="94" t="s">
        <v>165</v>
      </c>
      <c r="G45" s="66"/>
      <c r="H45" s="66"/>
      <c r="L45" s="63"/>
      <c r="M45" s="182"/>
      <c r="N45" s="63"/>
      <c r="O45" s="63"/>
    </row>
    <row r="46" spans="1:15" ht="18.75" hidden="1" customHeight="1">
      <c r="A46" s="73" t="s">
        <v>120</v>
      </c>
      <c r="B46" s="78" t="s">
        <v>36</v>
      </c>
      <c r="C46" s="90"/>
      <c r="D46" s="94" t="s">
        <v>166</v>
      </c>
      <c r="E46" s="68"/>
      <c r="G46" s="67"/>
      <c r="H46" s="67"/>
      <c r="L46" s="63"/>
      <c r="M46" s="182"/>
      <c r="N46" s="63"/>
      <c r="O46" s="63"/>
    </row>
    <row r="47" spans="1:15" ht="18.75" hidden="1" customHeight="1">
      <c r="A47" s="73" t="s">
        <v>121</v>
      </c>
      <c r="B47" s="78" t="s">
        <v>37</v>
      </c>
      <c r="C47" s="91"/>
      <c r="D47" s="94" t="s">
        <v>164</v>
      </c>
      <c r="E47" s="68"/>
      <c r="G47" s="67"/>
      <c r="H47" s="67"/>
      <c r="L47" s="63"/>
      <c r="M47" s="182"/>
      <c r="N47" s="63"/>
      <c r="O47" s="63"/>
    </row>
    <row r="48" spans="1:15" ht="18.75" hidden="1" customHeight="1">
      <c r="A48" s="73" t="s">
        <v>122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2"/>
      <c r="N48" s="63"/>
      <c r="O48" s="63"/>
    </row>
    <row r="49" spans="1:15" ht="18.75" hidden="1" customHeight="1">
      <c r="A49" s="73" t="s">
        <v>123</v>
      </c>
      <c r="B49" s="78" t="s">
        <v>39</v>
      </c>
      <c r="C49" s="93">
        <f>E45</f>
        <v>0</v>
      </c>
      <c r="D49" s="80" t="s">
        <v>58</v>
      </c>
      <c r="E49" s="68"/>
      <c r="G49" s="67"/>
      <c r="H49" s="67"/>
      <c r="L49" s="63"/>
      <c r="M49" s="182"/>
      <c r="N49" s="63"/>
      <c r="O49" s="63"/>
    </row>
    <row r="50" spans="1:15" ht="18.75" hidden="1" customHeight="1">
      <c r="A50" s="73" t="s">
        <v>124</v>
      </c>
      <c r="B50" s="78" t="s">
        <v>40</v>
      </c>
      <c r="C50" s="93">
        <f>E45</f>
        <v>0</v>
      </c>
      <c r="D50" s="80" t="s">
        <v>58</v>
      </c>
      <c r="E50" s="68"/>
      <c r="G50" s="67"/>
      <c r="H50" s="67"/>
      <c r="L50" s="63"/>
      <c r="M50" s="182"/>
      <c r="N50" s="63"/>
      <c r="O50" s="63"/>
    </row>
    <row r="51" spans="1:15" ht="18.75" hidden="1" customHeight="1">
      <c r="A51" s="73" t="s">
        <v>125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2"/>
      <c r="N51" s="63"/>
      <c r="O51" s="63"/>
    </row>
    <row r="52" spans="1:15" ht="29.25" hidden="1" customHeight="1">
      <c r="A52" s="73" t="s">
        <v>126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2"/>
      <c r="N52" s="63"/>
      <c r="O52" s="63"/>
    </row>
    <row r="53" spans="1:15" ht="18.75" hidden="1">
      <c r="A53" s="73" t="s">
        <v>127</v>
      </c>
      <c r="B53" s="77" t="s">
        <v>55</v>
      </c>
      <c r="C53" s="96">
        <f>IF(E53&gt;0,"Предоставляется",0)</f>
        <v>0</v>
      </c>
      <c r="D53" s="96" t="s">
        <v>54</v>
      </c>
      <c r="E53" s="95"/>
      <c r="F53" s="94" t="s">
        <v>165</v>
      </c>
      <c r="G53" s="66"/>
      <c r="H53" s="66"/>
      <c r="L53" s="63"/>
      <c r="M53" s="182"/>
      <c r="N53" s="63"/>
      <c r="O53" s="63"/>
    </row>
    <row r="54" spans="1:15" ht="18.75" hidden="1" customHeight="1">
      <c r="A54" s="73" t="s">
        <v>128</v>
      </c>
      <c r="B54" s="75" t="s">
        <v>36</v>
      </c>
      <c r="C54" s="98"/>
      <c r="D54" s="94" t="s">
        <v>166</v>
      </c>
      <c r="E54" s="69"/>
      <c r="F54" s="89"/>
      <c r="G54" s="64"/>
      <c r="H54" s="64"/>
      <c r="L54" s="63"/>
      <c r="M54" s="182"/>
      <c r="N54" s="63"/>
      <c r="O54" s="63"/>
    </row>
    <row r="55" spans="1:15" ht="18.75" hidden="1" customHeight="1">
      <c r="A55" s="73" t="s">
        <v>129</v>
      </c>
      <c r="B55" s="75" t="s">
        <v>37</v>
      </c>
      <c r="C55" s="86"/>
      <c r="D55" s="94" t="s">
        <v>164</v>
      </c>
      <c r="E55" s="69"/>
      <c r="G55" s="64"/>
      <c r="H55" s="64"/>
      <c r="L55" s="63"/>
      <c r="M55" s="182"/>
      <c r="N55" s="63"/>
      <c r="O55" s="63"/>
    </row>
    <row r="56" spans="1:15" ht="18.75" hidden="1" customHeight="1">
      <c r="A56" s="73" t="s">
        <v>130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2"/>
      <c r="N56" s="63"/>
      <c r="O56" s="63"/>
    </row>
    <row r="57" spans="1:15" ht="18.75" hidden="1" customHeight="1">
      <c r="A57" s="73" t="s">
        <v>131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82"/>
      <c r="N57" s="63"/>
      <c r="O57" s="63"/>
    </row>
    <row r="58" spans="1:15" ht="18.75" hidden="1" customHeight="1">
      <c r="A58" s="73" t="s">
        <v>132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82"/>
      <c r="N58" s="63"/>
      <c r="O58" s="63"/>
    </row>
    <row r="59" spans="1:15" ht="18.75" hidden="1" customHeight="1">
      <c r="A59" s="73" t="s">
        <v>133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2"/>
      <c r="N59" s="63"/>
      <c r="O59" s="63"/>
    </row>
    <row r="60" spans="1:15" ht="33.75" hidden="1" customHeight="1">
      <c r="A60" s="73" t="s">
        <v>134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2"/>
      <c r="N60" s="63"/>
      <c r="O60" s="63"/>
    </row>
    <row r="61" spans="1:15" ht="15.75" hidden="1">
      <c r="A61" s="73" t="s">
        <v>135</v>
      </c>
      <c r="B61" s="77" t="s">
        <v>76</v>
      </c>
      <c r="C61" s="96">
        <f>IF(E61&gt;0,"Предоставляется",0)</f>
        <v>0</v>
      </c>
      <c r="D61" s="96" t="s">
        <v>54</v>
      </c>
      <c r="E61" s="95"/>
      <c r="F61" s="94" t="s">
        <v>165</v>
      </c>
      <c r="G61" s="66"/>
      <c r="H61" s="66"/>
    </row>
    <row r="62" spans="1:15" ht="15.75" hidden="1" customHeight="1">
      <c r="A62" s="73" t="s">
        <v>136</v>
      </c>
      <c r="B62" s="75" t="s">
        <v>36</v>
      </c>
      <c r="C62" s="98"/>
      <c r="D62" s="94" t="s">
        <v>166</v>
      </c>
      <c r="E62" s="69"/>
      <c r="G62" s="64"/>
      <c r="H62" s="64"/>
    </row>
    <row r="63" spans="1:15" ht="15.75" hidden="1" customHeight="1">
      <c r="A63" s="73" t="s">
        <v>137</v>
      </c>
      <c r="B63" s="75" t="s">
        <v>37</v>
      </c>
      <c r="C63" s="86"/>
      <c r="D63" s="94" t="s">
        <v>164</v>
      </c>
      <c r="E63" s="69"/>
      <c r="G63" s="64"/>
      <c r="H63" s="64"/>
    </row>
    <row r="64" spans="1:15" ht="15.75" hidden="1" customHeight="1">
      <c r="A64" s="73" t="s">
        <v>138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hidden="1" customHeight="1">
      <c r="A65" s="73" t="s">
        <v>139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hidden="1" customHeight="1">
      <c r="A66" s="73" t="s">
        <v>140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hidden="1" customHeight="1">
      <c r="A67" s="73" t="s">
        <v>141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hidden="1" customHeight="1">
      <c r="A68" s="73" t="s">
        <v>142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 hidden="1">
      <c r="A69" s="73" t="s">
        <v>143</v>
      </c>
      <c r="B69" s="77" t="s">
        <v>77</v>
      </c>
      <c r="C69" s="96">
        <f>IF(E69&gt;0,"Предоставляется",0)</f>
        <v>0</v>
      </c>
      <c r="D69" s="96" t="s">
        <v>54</v>
      </c>
      <c r="E69" s="95"/>
      <c r="F69" s="94" t="s">
        <v>165</v>
      </c>
      <c r="G69" s="66"/>
      <c r="H69" s="66"/>
    </row>
    <row r="70" spans="1:8" ht="15.75" hidden="1" customHeight="1">
      <c r="A70" s="73" t="s">
        <v>144</v>
      </c>
      <c r="B70" s="75" t="s">
        <v>36</v>
      </c>
      <c r="C70" s="98"/>
      <c r="D70" s="94" t="s">
        <v>166</v>
      </c>
      <c r="E70" s="69"/>
      <c r="G70" s="64"/>
      <c r="H70" s="64"/>
    </row>
    <row r="71" spans="1:8" ht="15.75" hidden="1" customHeight="1">
      <c r="A71" s="73" t="s">
        <v>145</v>
      </c>
      <c r="B71" s="75" t="s">
        <v>37</v>
      </c>
      <c r="C71" s="86"/>
      <c r="D71" s="94" t="s">
        <v>164</v>
      </c>
      <c r="E71" s="69"/>
      <c r="G71" s="64"/>
      <c r="H71" s="64"/>
    </row>
    <row r="72" spans="1:8" ht="15.75" hidden="1" customHeight="1">
      <c r="A72" s="73" t="s">
        <v>146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hidden="1" customHeight="1">
      <c r="A73" s="73" t="s">
        <v>147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hidden="1" customHeight="1">
      <c r="A74" s="73" t="s">
        <v>148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hidden="1" customHeight="1">
      <c r="A75" s="73" t="s">
        <v>149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hidden="1" customHeight="1">
      <c r="A76" s="73" t="s">
        <v>150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 hidden="1">
      <c r="A77" s="73" t="s">
        <v>151</v>
      </c>
      <c r="B77" s="77" t="s">
        <v>78</v>
      </c>
      <c r="C77" s="96">
        <f>IF(E77&gt;0,"Предоставляется",0)</f>
        <v>0</v>
      </c>
      <c r="D77" s="96" t="s">
        <v>79</v>
      </c>
      <c r="E77" s="95"/>
      <c r="F77" s="94" t="s">
        <v>165</v>
      </c>
      <c r="G77" s="66"/>
      <c r="H77" s="66"/>
    </row>
    <row r="78" spans="1:8" ht="15.75" hidden="1" customHeight="1">
      <c r="A78" s="73" t="s">
        <v>152</v>
      </c>
      <c r="B78" s="75" t="s">
        <v>36</v>
      </c>
      <c r="C78" s="98"/>
      <c r="D78" s="94" t="s">
        <v>167</v>
      </c>
      <c r="E78" s="64"/>
      <c r="G78" s="64"/>
      <c r="H78" s="64"/>
    </row>
    <row r="79" spans="1:8" ht="15.75" hidden="1" customHeight="1">
      <c r="A79" s="73" t="s">
        <v>153</v>
      </c>
      <c r="B79" s="75" t="s">
        <v>37</v>
      </c>
      <c r="C79" s="86"/>
      <c r="D79" s="94" t="s">
        <v>164</v>
      </c>
      <c r="E79" s="64"/>
      <c r="G79" s="64"/>
      <c r="H79" s="64"/>
    </row>
    <row r="80" spans="1:8" ht="15.75" hidden="1" customHeight="1">
      <c r="A80" s="73" t="s">
        <v>154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hidden="1" customHeight="1">
      <c r="A81" s="73" t="s">
        <v>155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hidden="1" customHeight="1">
      <c r="A82" s="73" t="s">
        <v>156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hidden="1" customHeight="1">
      <c r="A83" s="73" t="s">
        <v>157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hidden="1" customHeight="1">
      <c r="A84" s="73" t="s">
        <v>158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:C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168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169</v>
      </c>
      <c r="B3" s="59" t="s">
        <v>45</v>
      </c>
      <c r="C3" s="105"/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170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2025-03-24T05:10:57Z</dcterms:modified>
</cp:coreProperties>
</file>