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30" i="3" l="1"/>
  <c r="C54" i="3"/>
  <c r="C46" i="3"/>
  <c r="B46" i="2" l="1"/>
  <c r="B45" i="2"/>
  <c r="B44" i="2"/>
  <c r="B42" i="2"/>
  <c r="B41" i="2"/>
  <c r="B40" i="2"/>
  <c r="B39" i="2"/>
  <c r="D7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A141" i="1" l="1"/>
  <c r="A114" i="1"/>
  <c r="A105" i="1"/>
  <c r="A115" i="1"/>
  <c r="A111" i="1"/>
  <c r="D110" i="1"/>
  <c r="A112" i="1"/>
  <c r="A116" i="1"/>
  <c r="A110" i="1"/>
  <c r="F110" i="1"/>
  <c r="A113" i="1"/>
  <c r="A97" i="1"/>
  <c r="F102" i="1"/>
  <c r="A134" i="1"/>
  <c r="A137" i="1"/>
  <c r="A109" i="1"/>
  <c r="A135" i="1"/>
  <c r="F94" i="1"/>
  <c r="A101" i="1"/>
  <c r="A118" i="1"/>
  <c r="A119" i="1"/>
  <c r="A124" i="1"/>
  <c r="F134" i="1"/>
  <c r="A139" i="1"/>
  <c r="A106" i="1"/>
  <c r="A138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80" i="1"/>
  <c r="F178" i="1"/>
  <c r="H178" i="1"/>
  <c r="H166" i="1"/>
  <c r="H187" i="1"/>
  <c r="H182" i="1"/>
  <c r="F181" i="1"/>
  <c r="F187" i="1"/>
  <c r="H181" i="1"/>
  <c r="F175" i="1"/>
  <c r="F167" i="1"/>
  <c r="F184" i="1"/>
  <c r="F177" i="1"/>
  <c r="H170" i="1"/>
  <c r="H165" i="1"/>
  <c r="H177" i="1"/>
  <c r="F179" i="1"/>
  <c r="F171" i="1"/>
  <c r="H179" i="1"/>
  <c r="F170" i="1"/>
  <c r="F165" i="1"/>
  <c r="H186" i="1"/>
  <c r="H171" i="1"/>
  <c r="F186" i="1"/>
  <c r="H176" i="1"/>
  <c r="F168" i="1"/>
  <c r="H184" i="1"/>
  <c r="H173" i="1"/>
  <c r="F172" i="1"/>
  <c r="H164" i="1"/>
  <c r="H168" i="1"/>
  <c r="F173" i="1"/>
  <c r="F176" i="1"/>
  <c r="F185" i="1"/>
  <c r="F164" i="1"/>
  <c r="F182" i="1"/>
  <c r="H169" i="1"/>
  <c r="F169" i="1"/>
  <c r="H185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<sst xmlns="http://schemas.openxmlformats.org/spreadsheetml/2006/main" count="575" uniqueCount="220">
  <si>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</si>
  <si>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</si>
  <si>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</si>
  <si>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</si>
  <si>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</si>
  <si>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</si>
  <si>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</si>
  <si>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</si>
  <si>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</si>
  <si>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</si>
  <si>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</si>
  <si>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</si>
  <si>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</si>
  <si>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</si>
  <si>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</si>
  <si>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</si>
  <si>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</si>
  <si>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</si>
  <si>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</si>
  <si>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</si>
  <si>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</si>
  <si>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</si>
  <si>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</si>
  <si>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</si>
  <si>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</si>
  <si>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</si>
  <si>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</si>
  <si>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</si>
  <si>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</si>
  <si>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</si>
  <si>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</si>
  <si>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</si>
  <si>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</si>
  <si>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</si>
  <si>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</si>
  <si>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</si>
  <si>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</si>
  <si>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</si>
  <si>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</si>
  <si>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</si>
  <si>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</si>
  <si>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</si>
  <si>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</si>
  <si>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</si>
  <si>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</si>
  <si>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</si>
  <si>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</si>
  <si>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</si>
  <si>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</si>
  <si>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</si>
  <si>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</si>
  <si>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</si>
  <si>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</si>
  <si>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</si>
  <si>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</si>
  <si>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</si>
  <si>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</si>
  <si>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</si>
  <si>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</si>
  <si>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</si>
  <si>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</si>
  <si>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</si>
  <si>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</si>
  <si>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</si>
  <si>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</si>
  <si>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</si>
  <si>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</si>
  <si>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</si>
  <si>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</si>
  <si>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</si>
  <si>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</si>
  <si>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</si>
  <si>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</si>
  <si>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</si>
  <si>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</si>
  <si>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</si>
  <si>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</si>
  <si>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</si>
  <si>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</si>
  <si>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</si>
  <si>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</si>
  <si>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</si>
  <si>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</si>
  <si>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</si>
  <si>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</si>
  <si>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</si>
  <si>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</si>
  <si>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</si>
  <si>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</si>
  <si>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</si>
  <si>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</si>
  <si>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</si>
  <si>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</si>
  <si>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</si>
  <si>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</si>
  <si>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</si>
  <si>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</si>
  <si>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</si>
  <si>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</si>
  <si>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</si>
  <si>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</si>
  <si>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</si>
  <si>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</si>
  <si>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</si>
  <si>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</si>
  <si>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</si>
  <si>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</si>
  <si>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</si>
  <si>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</si>
  <si>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</si>
  <si>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</si>
  <si>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</si>
  <si>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</si>
  <si>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</si>
  <si>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</si>
  <si>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</si>
  <si>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</si>
  <si>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</si>
  <si>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</si>
  <si>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</si>
  <si>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</si>
  <si>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</si>
  <si>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</si>
  <si>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</si>
  <si>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</si>
  <si>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</si>
  <si>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</si>
  <si>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</si>
  <si>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</si>
  <si>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</si>
  <si>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</si>
  <si>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</si>
  <si>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</si>
  <si>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</si>
  <si>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</si>
  <si>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</si>
  <si>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</si>
  <si>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</si>
  <si>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</si>
  <si>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</si>
  <si>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</si>
  <si>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</si>
  <si>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</si>
  <si>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</si>
  <si>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</si>
  <si>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</si>
  <si>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</si>
  <si>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</si>
  <si>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</si>
  <si>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</si>
  <si>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</si>
  <si>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</si>
  <si>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</si>
  <si>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</si>
  <si>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</si>
  <si>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</si>
  <si>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</si>
  <si>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</si>
  <si>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</si>
  <si>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</si>
  <si>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</si>
  <si>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</si>
  <si>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</si>
  <si>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</si>
  <si>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</si>
  <si>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</si>
  <si>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</si>
  <si>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</si>
  <si>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</si>
  <si>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</si>
  <si>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</si>
  <si>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</si>
  <si>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</si>
  <si>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</si>
  <si>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</si>
  <si>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121</t>
  </si>
  <si>
    <t>Отчет об исполнении договора управления многоквартирного дома 
Юбилейный, 121 в части текущего ремонта</t>
  </si>
  <si>
    <t>Работы (услуги) по управлению многоквартирным домом</t>
  </si>
  <si>
    <t>Техническое освидетельствование лифтов.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</si>
  <si>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</si>
  <si>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</si>
  <si>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</si>
  <si>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>Техническое обслуживание охранной сигнализации.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</si>
  <si>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</si>
  <si>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</si>
  <si>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ежемесячно</t>
  </si>
  <si>
    <t xml:space="preserve">  -  монтаж системы видеонаблюдения</t>
  </si>
  <si>
    <t xml:space="preserve">  -  ремонт 2-х подъездов</t>
  </si>
  <si>
    <t xml:space="preserve">  -  механизированная уборка и вывоз снега с придомовой территории</t>
  </si>
  <si>
    <t xml:space="preserve">  -  ремонт теплообменника в ИТП</t>
  </si>
  <si>
    <t xml:space="preserve">  -  замена деревянной двери в 1, 2-ом подъезде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</si>
  <si>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</si>
  <si>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</si>
  <si>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</si>
  <si>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</si>
  <si>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</si>
  <si>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Механизированная уборка и вывоз снега с придомовой территории.</t>
  </si>
  <si>
    <t>разово</t>
  </si>
  <si>
    <t>Генеральная уборка подъездов.</t>
  </si>
  <si>
    <t>АВР 2/24 от 13.04.2024, Решение</t>
  </si>
  <si>
    <t>Приобретение и замена шарового крана Ду40, обратного клапана Ду40 в ИТП.</t>
  </si>
  <si>
    <t>АВР 1/24 от 26.01.2024, счет №9 от 25.01.2024</t>
  </si>
  <si>
    <t>АВР 3/24 от 31.12.2024</t>
  </si>
  <si>
    <t>АВР 4/24 от 31.12.2024</t>
  </si>
  <si>
    <t>Благоустройство придомовой территории (ремонт асфальтового покрытия).</t>
  </si>
  <si>
    <t>АВР 5/24 от 19.08.2024, счет №НФФЗ-151 от 17.08.2024</t>
  </si>
  <si>
    <t>АВР 6/24 от 29.08.2024, счет №11998 от 26.08.2024, №НФФР-155 от 26.08.2024</t>
  </si>
  <si>
    <t>Приобретение грязезащитных ковриков в подъезды (4 шт.).</t>
  </si>
  <si>
    <t>АВР 7/24 от 07.10.2024, Решение</t>
  </si>
  <si>
    <t>Ремонт прибора учета тепловой энергии.</t>
  </si>
  <si>
    <t>Приобретение и замена трехходовых шаровых кранов (8 шт.).</t>
  </si>
  <si>
    <t>АВР 8/24 от 25.07.2024</t>
  </si>
  <si>
    <t>Приобретение и замена модема в ИТП.</t>
  </si>
  <si>
    <t>АВР 9/24 от 19.08.2024, счет №700 от 19.08.2024</t>
  </si>
  <si>
    <t>АВР 10/24 от 19.08.2024, счет №НФФЗ-179 от 08.10.2024</t>
  </si>
  <si>
    <t>АВР 11/24 от 24.10.2024, счет №136 от 24.10.2024</t>
  </si>
  <si>
    <t>Приобретение и замена обратного трубопровода (в 1 и 2 подвальном помещении).</t>
  </si>
  <si>
    <t>АВР 12/24 от 25.11.2024, счет №524 от 25.11.2024</t>
  </si>
  <si>
    <t>Приобретение и замена кнопочного модуля, поста управления и табло индикации пассажирского лифта (2 подъезд).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</si>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</sst>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4" fillId="0" borderId="0"/>
    <xf numFmtId="0" fontId="4" fillId="0" borderId="0"/>
  </cellStyleXfs>
  <cellXfs count="188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23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4" fontId="24" fillId="0" borderId="0" xfId="0" applyNumberFormat="1" applyFont="1" applyFill="1"/>
    <xf numFmtId="0" fontId="0" fillId="0" borderId="0" xfId="0" applyFill="1" applyBorder="1"/>
    <xf numFmtId="0" fontId="3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14" fillId="0" borderId="1" xfId="6" applyFont="1" applyFill="1" applyBorder="1" applyAlignment="1"/>
    <xf numFmtId="0" fontId="31" fillId="0" borderId="1" xfId="6" applyFont="1" applyFill="1" applyBorder="1" applyAlignment="1">
      <alignment horizontal="center"/>
    </xf>
    <xf numFmtId="4" fontId="31" fillId="0" borderId="1" xfId="6" applyNumberFormat="1" applyFont="1" applyFill="1" applyBorder="1" applyAlignment="1"/>
    <xf numFmtId="0" fontId="0" fillId="0" borderId="1" xfId="0" applyFill="1" applyBorder="1"/>
    <xf numFmtId="0" fontId="9" fillId="0" borderId="1" xfId="6" applyFont="1" applyFill="1" applyBorder="1" applyAlignment="1">
      <alignment wrapText="1"/>
    </xf>
    <xf numFmtId="0" fontId="9" fillId="0" borderId="1" xfId="6" applyFont="1" applyFill="1" applyBorder="1" applyAlignment="1">
      <alignment horizontal="center"/>
    </xf>
    <xf numFmtId="0" fontId="16" fillId="0" borderId="1" xfId="6" applyFill="1" applyBorder="1" applyAlignment="1">
      <alignment horizontal="center"/>
    </xf>
    <xf numFmtId="4" fontId="16" fillId="0" borderId="1" xfId="6" applyNumberFormat="1" applyFill="1" applyBorder="1" applyAlignment="1"/>
    <xf numFmtId="0" fontId="8" fillId="0" borderId="1" xfId="6" applyFont="1" applyFill="1" applyBorder="1" applyAlignment="1">
      <alignment wrapText="1"/>
    </xf>
    <xf numFmtId="0" fontId="8" fillId="0" borderId="1" xfId="6" applyFont="1" applyFill="1" applyBorder="1" applyAlignment="1">
      <alignment horizontal="center"/>
    </xf>
    <xf numFmtId="0" fontId="31" fillId="0" borderId="1" xfId="6" applyFont="1" applyFill="1" applyBorder="1" applyAlignment="1"/>
    <xf numFmtId="0" fontId="31" fillId="0" borderId="1" xfId="13" applyFont="1" applyFill="1" applyBorder="1"/>
    <xf numFmtId="0" fontId="6" fillId="0" borderId="1" xfId="12" applyFont="1" applyFill="1" applyBorder="1" applyAlignment="1">
      <alignment wrapText="1"/>
    </xf>
    <xf numFmtId="0" fontId="7" fillId="0" borderId="1" xfId="12" applyFont="1" applyFill="1" applyBorder="1" applyAlignment="1">
      <alignment horizontal="center"/>
    </xf>
    <xf numFmtId="0" fontId="13" fillId="0" borderId="1" xfId="12" applyFill="1" applyBorder="1" applyAlignment="1">
      <alignment horizontal="center"/>
    </xf>
    <xf numFmtId="4" fontId="13" fillId="0" borderId="1" xfId="12" applyNumberFormat="1" applyFill="1" applyBorder="1" applyAlignment="1"/>
    <xf numFmtId="0" fontId="5" fillId="0" borderId="1" xfId="12" applyFont="1" applyFill="1" applyBorder="1"/>
    <xf numFmtId="0" fontId="2" fillId="0" borderId="1" xfId="27" applyFont="1" applyFill="1" applyBorder="1" applyAlignment="1"/>
    <xf numFmtId="0" fontId="4" fillId="0" borderId="1" xfId="28" applyFont="1" applyFill="1" applyBorder="1" applyAlignment="1">
      <alignment horizontal="center"/>
    </xf>
    <xf numFmtId="0" fontId="4" fillId="0" borderId="1" xfId="28" applyFill="1" applyBorder="1" applyAlignment="1">
      <alignment horizontal="center"/>
    </xf>
    <xf numFmtId="4" fontId="31" fillId="0" borderId="1" xfId="28" applyNumberFormat="1" applyFont="1" applyFill="1" applyBorder="1" applyAlignment="1"/>
    <xf numFmtId="0" fontId="31" fillId="0" borderId="1" xfId="27" applyFont="1" applyFill="1" applyBorder="1"/>
    <xf numFmtId="0" fontId="2" fillId="0" borderId="1" xfId="28" applyFont="1" applyFill="1" applyBorder="1" applyAlignment="1">
      <alignment horizontal="center"/>
    </xf>
    <xf numFmtId="0" fontId="4" fillId="0" borderId="1" xfId="27" applyFont="1" applyFill="1" applyBorder="1" applyAlignment="1"/>
    <xf numFmtId="0" fontId="1" fillId="0" borderId="1" xfId="6" applyFont="1" applyFill="1" applyBorder="1" applyAlignment="1">
      <alignment wrapText="1"/>
    </xf>
    <xf numFmtId="0" fontId="3" fillId="0" borderId="1" xfId="6" applyFont="1" applyFill="1" applyBorder="1" applyAlignment="1">
      <alignment horizontal="center"/>
    </xf>
    <xf numFmtId="0" fontId="2" fillId="0" borderId="1" xfId="6" applyFont="1" applyFill="1" applyBorder="1"/>
    <xf numFmtId="0" fontId="31" fillId="0" borderId="1" xfId="6" applyFont="1" applyFill="1" applyBorder="1" applyAlignment="1">
      <alignment wrapText="1"/>
    </xf>
    <xf numFmtId="4" fontId="31" fillId="0" borderId="1" xfId="6" applyNumberFormat="1" applyFont="1" applyFill="1" applyBorder="1" applyAlignment="1">
      <alignment horizontal="right"/>
    </xf>
    <xf numFmtId="0" fontId="33" fillId="3" borderId="1" xfId="0" applyFont="1" applyFill="1" applyBorder="1" applyAlignment="1">
      <alignment horizontal="left" vertical="center" wrapText="1"/>
    </xf>
    <xf numFmtId="4" fontId="41" fillId="0" borderId="1" xfId="0" applyNumberFormat="1" applyFont="1" applyBorder="1"/>
    <xf numFmtId="4" fontId="33" fillId="3" borderId="1" xfId="1" applyNumberFormat="1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4" fontId="0" fillId="0" borderId="1" xfId="0" applyNumberFormat="1" applyBorder="1"/>
    <xf numFmtId="4" fontId="33" fillId="3" borderId="1" xfId="26" applyNumberFormat="1" applyFont="1" applyFill="1" applyBorder="1" applyAlignment="1">
      <alignment horizontal="left" vertical="center" wrapText="1"/>
    </xf>
    <xf numFmtId="0" fontId="35" fillId="0" borderId="1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29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4" xfId="14"/>
    <cellStyle name="Обычный 2 5" xfId="26"/>
    <cellStyle name="Обычный 3" xfId="2"/>
    <cellStyle name="Обычный 3 2" xfId="8"/>
    <cellStyle name="Обычный 3 2 2" xfId="20"/>
    <cellStyle name="Обычный 3 3" xfId="15"/>
    <cellStyle name="Обычный 4" xfId="4"/>
    <cellStyle name="Обычный 4 2" xfId="9"/>
    <cellStyle name="Обычный 4 2 2" xfId="21"/>
    <cellStyle name="Обычный 4 2 2 5" xfId="28"/>
    <cellStyle name="Обычный 4 3" xfId="16"/>
    <cellStyle name="Обычный 5" xfId="5"/>
    <cellStyle name="Обычный 5 2" xfId="10"/>
    <cellStyle name="Обычный 5 2 2" xfId="22"/>
    <cellStyle name="Обычный 5 3" xfId="13"/>
    <cellStyle name="Обычный 5 3 2" xfId="25"/>
    <cellStyle name="Обычный 5 3 5" xfId="27"/>
    <cellStyle name="Обычный 5 4" xfId="17"/>
    <cellStyle name="Обычный 6" xfId="6"/>
    <cellStyle name="Обычный 6 2" xfId="11"/>
    <cellStyle name="Обычный 6 2 2" xfId="23"/>
    <cellStyle name="Обычный 6 3" xfId="12"/>
    <cellStyle name="Обычный 6 3 2" xfId="24"/>
    <cellStyle name="Обычный 6 4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178" t="s">
        <v>175</v>
      </c>
      <c r="B2" s="178"/>
      <c r="C2" s="178"/>
      <c r="D2" s="178"/>
      <c r="E2" s="178"/>
      <c r="F2" s="178"/>
      <c r="G2" s="178"/>
      <c r="H2" s="178"/>
      <c r="I2" s="178"/>
      <c r="J2" s="178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3">
        <v>45292</v>
      </c>
      <c r="K4" s="105"/>
      <c r="L4" s="105"/>
      <c r="M4" s="105"/>
      <c r="N4" s="105"/>
    </row>
    <row r="5" spans="1:18">
      <c r="A5" s="1" t="s">
        <v>1</v>
      </c>
      <c r="E5" s="113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5"/>
      <c r="L8" s="179"/>
      <c r="M8" s="105"/>
      <c r="N8" s="105"/>
      <c r="O8" s="66" t="s">
        <v>80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5"/>
      <c r="L9" s="179"/>
      <c r="M9" s="105"/>
      <c r="N9" s="105"/>
      <c r="O9" s="66" t="s">
        <v>81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297181.65000000002</v>
      </c>
      <c r="K10" s="105"/>
      <c r="L10" s="179"/>
      <c r="M10" s="105"/>
      <c r="N10" s="105"/>
      <c r="O10" s="66" t="s">
        <v>82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1343202.8399999999</v>
      </c>
      <c r="K11" s="105"/>
      <c r="L11" s="179"/>
      <c r="M11" s="105"/>
      <c r="N11" s="105"/>
      <c r="O11" s="66" t="s">
        <v>83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1048536</v>
      </c>
      <c r="K12" s="105"/>
      <c r="L12" s="179"/>
      <c r="M12" s="105"/>
      <c r="N12" s="105"/>
      <c r="O12" s="66" t="s">
        <v>84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294666.83999999997</v>
      </c>
      <c r="K13" s="105"/>
      <c r="L13" s="179"/>
      <c r="M13" s="105"/>
      <c r="N13" s="105"/>
      <c r="O13" s="66" t="s">
        <v>85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0</v>
      </c>
      <c r="K14" s="105"/>
      <c r="L14" s="179"/>
      <c r="M14" s="105"/>
      <c r="N14" s="105"/>
      <c r="O14" s="66" t="s">
        <v>86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1420025.36</v>
      </c>
      <c r="K15" s="105"/>
      <c r="L15" s="179"/>
      <c r="M15" s="105"/>
      <c r="N15" s="105"/>
      <c r="O15" s="66" t="s">
        <v>87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1420025.36</v>
      </c>
      <c r="K16" s="105"/>
      <c r="L16" s="179"/>
      <c r="M16" s="105"/>
      <c r="N16" s="105"/>
      <c r="O16" s="66" t="s">
        <v>88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5"/>
      <c r="L17" s="179"/>
      <c r="M17" s="105"/>
      <c r="N17" s="105"/>
      <c r="O17" s="66" t="s">
        <v>89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5"/>
      <c r="L18" s="179"/>
      <c r="M18" s="105"/>
      <c r="N18" s="105"/>
      <c r="O18" s="66" t="s">
        <v>90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5"/>
      <c r="L19" s="179"/>
      <c r="M19" s="105"/>
      <c r="N19" s="105"/>
      <c r="O19" s="66" t="s">
        <v>91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5"/>
      <c r="L20" s="179"/>
      <c r="M20" s="105"/>
      <c r="N20" s="105"/>
      <c r="O20" s="66" t="s">
        <v>92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1420025.36</v>
      </c>
      <c r="K21" s="105"/>
      <c r="L21" s="179"/>
      <c r="M21" s="105"/>
      <c r="N21" s="105"/>
      <c r="O21" s="66" t="s">
        <v>93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5"/>
      <c r="L22" s="179"/>
      <c r="M22" s="105"/>
      <c r="N22" s="105"/>
      <c r="O22" s="66" t="s">
        <v>94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5"/>
      <c r="L23" s="179"/>
      <c r="M23" s="105"/>
      <c r="N23" s="105"/>
      <c r="O23" s="66" t="s">
        <v>95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220359.12999999966</v>
      </c>
      <c r="K24" s="105"/>
      <c r="L24" s="179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56</v>
      </c>
      <c r="I27" s="162" t="s">
        <v>21</v>
      </c>
      <c r="J27" s="162"/>
      <c r="K27" s="105"/>
      <c r="L27" s="180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57">
        <f>VLOOKUP(A28,ПТО!$A$39:$D$53,2,FALSE)</f>
        <v>268557.12</v>
      </c>
      <c r="G28" s="157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5"/>
      <c r="L28" s="180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6" t="str">
        <f>ПТО!A40</f>
        <v>Работы по содержанию лифта (лифтов)</v>
      </c>
      <c r="B29" s="156"/>
      <c r="C29" s="156"/>
      <c r="D29" s="156"/>
      <c r="E29" s="156"/>
      <c r="F29" s="157">
        <f>VLOOKUP(A29,ПТО!$A$39:$D$53,2,FALSE)</f>
        <v>156658.32</v>
      </c>
      <c r="G29" s="157"/>
      <c r="H29" s="39" t="str">
        <f>VLOOKUP(A29,ПТО!$A$39:$D$53,3,FALSE)</f>
        <v>Ежемесячно</v>
      </c>
      <c r="I29" s="158">
        <f>VLOOKUP(A29,ПТО!$A$39:$D$53,4,FALSE)</f>
        <v>12</v>
      </c>
      <c r="J29" s="158"/>
      <c r="K29" s="105"/>
      <c r="L29" s="180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6" t="str">
        <f>ПТО!A41</f>
        <v>Работы по содержанию земельного участка</v>
      </c>
      <c r="B30" s="156"/>
      <c r="C30" s="156"/>
      <c r="D30" s="156"/>
      <c r="E30" s="156"/>
      <c r="F30" s="157">
        <f>VLOOKUP(A30,ПТО!$A$39:$D$53,2,FALSE)</f>
        <v>87654.06</v>
      </c>
      <c r="G30" s="157"/>
      <c r="H30" s="39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5"/>
      <c r="L30" s="180"/>
      <c r="M30" s="105"/>
      <c r="N30" s="105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57">
        <f>VLOOKUP(A31,ПТО!$A$39:$D$53,2,FALSE)</f>
        <v>71490.899999999994</v>
      </c>
      <c r="G31" s="157"/>
      <c r="H31" s="39" t="str">
        <f>VLOOKUP(A31,ПТО!$A$39:$D$53,3,FALSE)</f>
        <v>Ежемесячно</v>
      </c>
      <c r="I31" s="158">
        <f>VLOOKUP(A31,ПТО!$A$39:$D$53,4,FALSE)</f>
        <v>12</v>
      </c>
      <c r="J31" s="158"/>
      <c r="K31" s="105"/>
      <c r="L31" s="180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57" t="e">
        <f>VLOOKUP(A32,ПТО!$A$39:$D$53,2,FALSE)</f>
        <v>#N/A</v>
      </c>
      <c r="G32" s="157"/>
      <c r="H32" s="39" t="e">
        <f>VLOOKUP(A32,ПТО!$A$39:$D$53,3,FALSE)</f>
        <v>#N/A</v>
      </c>
      <c r="I32" s="158" t="e">
        <f>VLOOKUP(A32,ПТО!$A$39:$D$53,4,FALSE)</f>
        <v>#N/A</v>
      </c>
      <c r="J32" s="158"/>
      <c r="K32" s="105"/>
      <c r="L32" s="180"/>
      <c r="M32" s="105"/>
      <c r="N32" s="105"/>
      <c r="O32" s="23">
        <f t="shared" si="1"/>
        <v>0</v>
      </c>
      <c r="R32" s="1" t="s">
        <v>70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57">
        <f>VLOOKUP(A33,ПТО!$A$39:$D$53,2,FALSE)</f>
        <v>21758.099999999995</v>
      </c>
      <c r="G33" s="157"/>
      <c r="H33" s="39" t="str">
        <f>VLOOKUP(A33,ПТО!$A$39:$D$53,3,FALSE)</f>
        <v>Круглосуточно</v>
      </c>
      <c r="I33" s="158">
        <f>VLOOKUP(A33,ПТО!$A$39:$D$53,4,FALSE)</f>
        <v>12</v>
      </c>
      <c r="J33" s="158"/>
      <c r="K33" s="105"/>
      <c r="L33" s="180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57">
        <f>VLOOKUP(A34,ПТО!$A$39:$D$53,2,FALSE)</f>
        <v>112520.45999999999</v>
      </c>
      <c r="G34" s="157"/>
      <c r="H34" s="39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5"/>
      <c r="L34" s="180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6" t="str">
        <f>ПТО!A46</f>
        <v>Работы (услуги) по управлению многоквартирным домом</v>
      </c>
      <c r="B35" s="156"/>
      <c r="C35" s="156"/>
      <c r="D35" s="156"/>
      <c r="E35" s="156"/>
      <c r="F35" s="157">
        <f>VLOOKUP(A35,ПТО!$A$39:$D$53,2,FALSE)</f>
        <v>239339.1</v>
      </c>
      <c r="G35" s="157"/>
      <c r="H35" s="39" t="str">
        <f>VLOOKUP(A35,ПТО!$A$39:$D$53,3,FALSE)</f>
        <v>Ежемесячно</v>
      </c>
      <c r="I35" s="158">
        <f>VLOOKUP(A35,ПТО!$A$39:$D$53,4,FALSE)</f>
        <v>12</v>
      </c>
      <c r="J35" s="158"/>
      <c r="K35" s="105"/>
      <c r="L35" s="180"/>
      <c r="M35" s="112"/>
      <c r="N35" s="105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57" t="e">
        <f>VLOOKUP(A36,ПТО!$A$39:$D$53,2,FALSE)</f>
        <v>#N/A</v>
      </c>
      <c r="G36" s="157"/>
      <c r="H36" s="39" t="e">
        <f>VLOOKUP(A36,ПТО!$A$39:$D$53,3,FALSE)</f>
        <v>#N/A</v>
      </c>
      <c r="I36" s="158" t="e">
        <f>VLOOKUP(A36,ПТО!$A$39:$D$53,4,FALSE)</f>
        <v>#N/A</v>
      </c>
      <c r="J36" s="158"/>
      <c r="K36" s="105"/>
      <c r="L36" s="180"/>
      <c r="M36" s="112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57" t="e">
        <f>VLOOKUP(A37,ПТО!$A$39:$D$53,2,FALSE)</f>
        <v>#N/A</v>
      </c>
      <c r="G37" s="157"/>
      <c r="H37" s="39" t="e">
        <f>VLOOKUP(A37,ПТО!$A$39:$D$53,3,FALSE)</f>
        <v>#N/A</v>
      </c>
      <c r="I37" s="158" t="e">
        <f>VLOOKUP(A37,ПТО!$A$39:$D$53,4,FALSE)</f>
        <v>#N/A</v>
      </c>
      <c r="J37" s="158"/>
      <c r="K37" s="105"/>
      <c r="L37" s="180"/>
      <c r="M37" s="112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57" t="e">
        <f>VLOOKUP(A38,ПТО!$A$39:$D$53,2,FALSE)</f>
        <v>#N/A</v>
      </c>
      <c r="G38" s="157"/>
      <c r="H38" s="39" t="e">
        <f>VLOOKUP(A38,ПТО!$A$39:$D$53,3,FALSE)</f>
        <v>#N/A</v>
      </c>
      <c r="I38" s="158" t="e">
        <f>VLOOKUP(A38,ПТО!$A$39:$D$53,4,FALSE)</f>
        <v>#N/A</v>
      </c>
      <c r="J38" s="158"/>
      <c r="K38" s="105"/>
      <c r="L38" s="180"/>
      <c r="M38" s="112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57" t="e">
        <f>VLOOKUP(A39,ПТО!$A$39:$D$53,2,FALSE)</f>
        <v>#N/A</v>
      </c>
      <c r="G39" s="157"/>
      <c r="H39" s="39" t="e">
        <f>VLOOKUP(A39,ПТО!$A$39:$D$53,3,FALSE)</f>
        <v>#N/A</v>
      </c>
      <c r="I39" s="158" t="e">
        <f>VLOOKUP(A39,ПТО!$A$39:$D$53,4,FALSE)</f>
        <v>#N/A</v>
      </c>
      <c r="J39" s="158"/>
      <c r="K39" s="105"/>
      <c r="L39" s="180"/>
      <c r="M39" s="112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57" t="e">
        <f>VLOOKUP(A40,ПТО!$A$39:$D$53,2,FALSE)</f>
        <v>#N/A</v>
      </c>
      <c r="G40" s="157"/>
      <c r="H40" s="39" t="e">
        <f>VLOOKUP(A40,ПТО!$A$39:$D$53,3,FALSE)</f>
        <v>#N/A</v>
      </c>
      <c r="I40" s="158" t="e">
        <f>VLOOKUP(A40,ПТО!$A$39:$D$53,4,FALSE)</f>
        <v>#N/A</v>
      </c>
      <c r="J40" s="158"/>
      <c r="K40" s="105"/>
      <c r="L40" s="180"/>
      <c r="M40" s="112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57" t="e">
        <f>VLOOKUP(A41,ПТО!$A$39:$D$53,2,FALSE)</f>
        <v>#N/A</v>
      </c>
      <c r="G41" s="157"/>
      <c r="H41" s="39" t="e">
        <f>VLOOKUP(A41,ПТО!$A$39:$D$53,3,FALSE)</f>
        <v>#N/A</v>
      </c>
      <c r="I41" s="158" t="e">
        <f>VLOOKUP(A41,ПТО!$A$39:$D$53,4,FALSE)</f>
        <v>#N/A</v>
      </c>
      <c r="J41" s="158"/>
      <c r="K41" s="105"/>
      <c r="L41" s="180"/>
      <c r="M41" s="112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57" t="e">
        <f>VLOOKUP(A42,ПТО!$A$39:$D$53,2,FALSE)</f>
        <v>#N/A</v>
      </c>
      <c r="G42" s="157"/>
      <c r="H42" s="39" t="e">
        <f>VLOOKUP(A42,ПТО!$A$39:$D$53,3,FALSE)</f>
        <v>#N/A</v>
      </c>
      <c r="I42" s="158" t="e">
        <f>VLOOKUP(A42,ПТО!$A$39:$D$53,4,FALSE)</f>
        <v>#N/A</v>
      </c>
      <c r="J42" s="158"/>
      <c r="K42" s="105"/>
      <c r="L42" s="180"/>
      <c r="M42" s="112"/>
      <c r="N42" s="105"/>
      <c r="O42" s="23">
        <f t="shared" si="1"/>
        <v>0</v>
      </c>
      <c r="R42" s="1" t="s">
        <v>70</v>
      </c>
    </row>
    <row r="43" spans="1:18" ht="51" customHeight="1" outlineLevel="1">
      <c r="A43" s="156" t="str">
        <f>ПТО!A2</f>
        <v>Техническое освидетельствование лифтов.</v>
      </c>
      <c r="B43" s="156"/>
      <c r="C43" s="156"/>
      <c r="D43" s="156"/>
      <c r="E43" s="156"/>
      <c r="F43" s="157">
        <f>VLOOKUP(A43,ПТО!$A$2:$D$31,4,FALSE)</f>
        <v>15000</v>
      </c>
      <c r="G43" s="157"/>
      <c r="H43" s="19" t="str">
        <f>VLOOKUP(A43,ПТО!$A$2:$D$31,2,FALSE)</f>
        <v>ежегодно</v>
      </c>
      <c r="I43" s="158">
        <f>VLOOKUP(A43,ПТО!$A$2:$D$31,3,FALSE)</f>
        <v>2</v>
      </c>
      <c r="J43" s="158"/>
      <c r="K43" s="105"/>
      <c r="L43" s="180"/>
      <c r="M43" s="112"/>
      <c r="N43" s="105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56" t="str">
        <f>ПТО!A3</f>
        <v>Техническое обслуживание охранной сигнализации.</v>
      </c>
      <c r="B44" s="156"/>
      <c r="C44" s="156"/>
      <c r="D44" s="156"/>
      <c r="E44" s="156"/>
      <c r="F44" s="157">
        <f>VLOOKUP(A44,ПТО!$A$2:$D$31,4,FALSE)</f>
        <v>12000</v>
      </c>
      <c r="G44" s="157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05"/>
      <c r="L44" s="180"/>
      <c r="M44" s="112"/>
      <c r="N44" s="105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6" t="str">
        <f>ПТО!A4</f>
        <v>Механизированная уборка и вывоз снега с придомовой территории.</v>
      </c>
      <c r="B45" s="156"/>
      <c r="C45" s="156"/>
      <c r="D45" s="156"/>
      <c r="E45" s="156"/>
      <c r="F45" s="157">
        <f>VLOOKUP(A45,ПТО!$A$2:$D$31,4,FALSE)</f>
        <v>9649.41</v>
      </c>
      <c r="G45" s="157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5"/>
      <c r="L45" s="180"/>
      <c r="M45" s="112"/>
      <c r="N45" s="105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6" t="str">
        <f>ПТО!A5</f>
        <v>Генеральная уборка подъездов.</v>
      </c>
      <c r="B46" s="156"/>
      <c r="C46" s="156"/>
      <c r="D46" s="156"/>
      <c r="E46" s="156"/>
      <c r="F46" s="157">
        <f>VLOOKUP(A46,ПТО!$A$2:$D$31,4,FALSE)</f>
        <v>19455.169999999998</v>
      </c>
      <c r="G46" s="157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5"/>
      <c r="L46" s="180"/>
      <c r="M46" s="112"/>
      <c r="N46" s="105"/>
      <c r="O46" s="23" t="str">
        <f t="shared" si="1"/>
        <v>Генеральная уборка подъездов.</v>
      </c>
      <c r="R46" s="22" t="s">
        <v>71</v>
      </c>
    </row>
    <row r="47" spans="1:18" ht="51" customHeight="1" outlineLevel="1">
      <c r="A47" s="156" t="str">
        <f>ПТО!A6</f>
        <v>Благоустройство придомовой территории (ремонт асфальтового покрытия).</v>
      </c>
      <c r="B47" s="156"/>
      <c r="C47" s="156"/>
      <c r="D47" s="156"/>
      <c r="E47" s="156"/>
      <c r="F47" s="157">
        <f>VLOOKUP(A47,ПТО!$A$2:$D$31,4,FALSE)</f>
        <v>6700</v>
      </c>
      <c r="G47" s="157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5"/>
      <c r="L47" s="180"/>
      <c r="M47" s="112"/>
      <c r="N47" s="105"/>
      <c r="O47" s="23" t="str">
        <f t="shared" si="1"/>
        <v>Благоустройство придомовой территории (ремонт асфальтового покрытия).</v>
      </c>
      <c r="R47" s="22" t="s">
        <v>71</v>
      </c>
    </row>
    <row r="48" spans="1:18" ht="51" customHeight="1" outlineLevel="1">
      <c r="A48" s="156" t="str">
        <f>ПТО!A7</f>
        <v>Приобретение и замена шарового крана Ду40, обратного клапана Ду40 в ИТП.</v>
      </c>
      <c r="B48" s="156"/>
      <c r="C48" s="156"/>
      <c r="D48" s="156"/>
      <c r="E48" s="156"/>
      <c r="F48" s="157">
        <f>VLOOKUP(A48,ПТО!$A$2:$D$31,4,FALSE)</f>
        <v>12745</v>
      </c>
      <c r="G48" s="157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5"/>
      <c r="L48" s="180"/>
      <c r="M48" s="112"/>
      <c r="N48" s="105"/>
      <c r="O48" s="23" t="str">
        <f t="shared" si="1"/>
        <v>Приобретение и замена шарового крана Ду40, обратного клапана Ду40 в ИТП.</v>
      </c>
      <c r="R48" s="22" t="s">
        <v>71</v>
      </c>
    </row>
    <row r="49" spans="1:18" ht="51" customHeight="1" outlineLevel="1">
      <c r="A49" s="156" t="str">
        <f>ПТО!A8</f>
        <v>Приобретение и замена обратного трубопровода (в 1 и 2 подвальном помещении).</v>
      </c>
      <c r="B49" s="156"/>
      <c r="C49" s="156"/>
      <c r="D49" s="156"/>
      <c r="E49" s="156"/>
      <c r="F49" s="157">
        <f>VLOOKUP(A49,ПТО!$A$2:$D$31,4,FALSE)</f>
        <v>17000</v>
      </c>
      <c r="G49" s="157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05"/>
      <c r="L49" s="180"/>
      <c r="M49" s="112"/>
      <c r="N49" s="105"/>
      <c r="O49" s="23" t="str">
        <f t="shared" si="1"/>
        <v>Приобретение и замена обратного трубопровода (в 1 и 2 подвальном помещении).</v>
      </c>
      <c r="R49" s="22" t="s">
        <v>71</v>
      </c>
    </row>
    <row r="50" spans="1:18" ht="51" customHeight="1" outlineLevel="1">
      <c r="A50" s="156" t="str">
        <f>ПТО!A9</f>
        <v>Приобретение и замена трехходовых шаровых кранов (8 шт.).</v>
      </c>
      <c r="B50" s="156"/>
      <c r="C50" s="156"/>
      <c r="D50" s="156"/>
      <c r="E50" s="156"/>
      <c r="F50" s="157">
        <f>VLOOKUP(A50,ПТО!$A$2:$D$31,4,FALSE)</f>
        <v>3344</v>
      </c>
      <c r="G50" s="157"/>
      <c r="H50" s="25" t="str">
        <f>VLOOKUP(A50,ПТО!$A$2:$D$31,2,FALSE)</f>
        <v>разово</v>
      </c>
      <c r="I50" s="158">
        <f>VLOOKUP(A50,ПТО!$A$2:$D$31,3,FALSE)</f>
        <v>1</v>
      </c>
      <c r="J50" s="158"/>
      <c r="K50" s="105"/>
      <c r="L50" s="180"/>
      <c r="M50" s="112"/>
      <c r="N50" s="105"/>
      <c r="O50" s="23" t="str">
        <f t="shared" si="1"/>
        <v>Приобретение и замена трехходовых шаровых кранов (8 шт.).</v>
      </c>
      <c r="R50" s="22" t="s">
        <v>71</v>
      </c>
    </row>
    <row r="51" spans="1:18" ht="51" customHeight="1" outlineLevel="1">
      <c r="A51" s="156" t="str">
        <f>ПТО!A10</f>
        <v>Приобретение и замена модема в ИТП.</v>
      </c>
      <c r="B51" s="156"/>
      <c r="C51" s="156"/>
      <c r="D51" s="156"/>
      <c r="E51" s="156"/>
      <c r="F51" s="157">
        <f>VLOOKUP(A51,ПТО!$A$2:$D$31,4,FALSE)</f>
        <v>5200</v>
      </c>
      <c r="G51" s="157"/>
      <c r="H51" s="25" t="str">
        <f>VLOOKUP(A51,ПТО!$A$2:$D$31,2,FALSE)</f>
        <v>разово</v>
      </c>
      <c r="I51" s="158">
        <f>VLOOKUP(A51,ПТО!$A$2:$D$31,3,FALSE)</f>
        <v>1</v>
      </c>
      <c r="J51" s="158"/>
      <c r="K51" s="105"/>
      <c r="L51" s="180"/>
      <c r="M51" s="112"/>
      <c r="N51" s="105"/>
      <c r="O51" s="23" t="str">
        <f t="shared" si="1"/>
        <v>Приобретение и замена модема в ИТП.</v>
      </c>
      <c r="R51" s="22" t="s">
        <v>71</v>
      </c>
    </row>
    <row r="52" spans="1:18" ht="51" customHeight="1" outlineLevel="1">
      <c r="A52" s="156" t="str">
        <f>ПТО!A11</f>
        <v>Приобретение грязезащитных ковриков в подъезды (4 шт.).</v>
      </c>
      <c r="B52" s="156"/>
      <c r="C52" s="156"/>
      <c r="D52" s="156"/>
      <c r="E52" s="156"/>
      <c r="F52" s="157">
        <f>VLOOKUP(A52,ПТО!$A$2:$D$31,4,FALSE)</f>
        <v>7960</v>
      </c>
      <c r="G52" s="157"/>
      <c r="H52" s="25" t="str">
        <f>VLOOKUP(A52,ПТО!$A$2:$D$31,2,FALSE)</f>
        <v>разово</v>
      </c>
      <c r="I52" s="158">
        <f>VLOOKUP(A52,ПТО!$A$2:$D$31,3,FALSE)</f>
        <v>1</v>
      </c>
      <c r="J52" s="158"/>
      <c r="K52" s="105"/>
      <c r="L52" s="180"/>
      <c r="M52" s="112"/>
      <c r="N52" s="105"/>
      <c r="O52" s="23" t="str">
        <f t="shared" si="1"/>
        <v>Приобретение грязезащитных ковриков в подъезды (4 шт.).</v>
      </c>
      <c r="R52" s="22" t="s">
        <v>71</v>
      </c>
    </row>
    <row r="53" spans="1:18" ht="51" customHeight="1" outlineLevel="1">
      <c r="A53" s="156" t="str">
        <f>ПТО!A12</f>
        <v>Приобретение и замена кнопочного модуля, поста управления и табло индикации пассажирского лифта (2 подъезд).</v>
      </c>
      <c r="B53" s="156"/>
      <c r="C53" s="156"/>
      <c r="D53" s="156"/>
      <c r="E53" s="156"/>
      <c r="F53" s="157">
        <f>VLOOKUP(A53,ПТО!$A$2:$D$31,4,FALSE)</f>
        <v>16850</v>
      </c>
      <c r="G53" s="157"/>
      <c r="H53" s="25" t="str">
        <f>VLOOKUP(A53,ПТО!$A$2:$D$31,2,FALSE)</f>
        <v>разово</v>
      </c>
      <c r="I53" s="158">
        <f>VLOOKUP(A53,ПТО!$A$2:$D$31,3,FALSE)</f>
        <v>1</v>
      </c>
      <c r="J53" s="158"/>
      <c r="K53" s="105"/>
      <c r="L53" s="180"/>
      <c r="M53" s="112"/>
      <c r="N53" s="105"/>
      <c r="O53" s="23" t="str">
        <f t="shared" si="1"/>
        <v>Приобретение и замена кнопочного модуля, поста управления и табло индикации пассажирского лифта (2 подъезд).</v>
      </c>
      <c r="R53" s="22" t="s">
        <v>71</v>
      </c>
    </row>
    <row r="54" spans="1:18" ht="51" customHeight="1" outlineLevel="1">
      <c r="A54" s="156" t="str">
        <f>ПТО!A13</f>
        <v>Ремонт прибора учета тепловой энергии.</v>
      </c>
      <c r="B54" s="156"/>
      <c r="C54" s="156"/>
      <c r="D54" s="156"/>
      <c r="E54" s="156"/>
      <c r="F54" s="157">
        <f>VLOOKUP(A54,ПТО!$A$2:$D$31,4,FALSE)</f>
        <v>12300</v>
      </c>
      <c r="G54" s="157"/>
      <c r="H54" s="25" t="str">
        <f>VLOOKUP(A54,ПТО!$A$2:$D$31,2,FALSE)</f>
        <v>разово</v>
      </c>
      <c r="I54" s="158">
        <f>VLOOKUP(A54,ПТО!$A$2:$D$31,3,FALSE)</f>
        <v>1</v>
      </c>
      <c r="J54" s="158"/>
      <c r="K54" s="105"/>
      <c r="L54" s="180"/>
      <c r="M54" s="112"/>
      <c r="N54" s="105"/>
      <c r="O54" s="23" t="str">
        <f t="shared" si="1"/>
        <v>Ремонт прибора учета тепловой энергии.</v>
      </c>
      <c r="R54" s="22" t="s">
        <v>71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5"/>
      <c r="L55" s="180"/>
      <c r="M55" s="112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5"/>
      <c r="L56" s="180"/>
      <c r="M56" s="112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5"/>
      <c r="L57" s="180"/>
      <c r="M57" s="112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5"/>
      <c r="L58" s="180"/>
      <c r="M58" s="112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5"/>
      <c r="L59" s="180"/>
      <c r="M59" s="112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5"/>
      <c r="L60" s="180"/>
      <c r="M60" s="112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5"/>
      <c r="L61" s="180"/>
      <c r="M61" s="112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5"/>
      <c r="L62" s="180"/>
      <c r="M62" s="112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5"/>
      <c r="L63" s="180"/>
      <c r="M63" s="112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5"/>
      <c r="L64" s="180"/>
      <c r="M64" s="112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5"/>
      <c r="L65" s="180"/>
      <c r="M65" s="112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5"/>
      <c r="L66" s="180"/>
      <c r="M66" s="112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5"/>
      <c r="L67" s="180"/>
      <c r="M67" s="112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5"/>
      <c r="L68" s="180"/>
      <c r="M68" s="112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5"/>
      <c r="L69" s="180"/>
      <c r="M69" s="112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5"/>
      <c r="L70" s="180"/>
      <c r="M70" s="112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2"/>
      <c r="L71" s="180"/>
      <c r="M71" s="112"/>
      <c r="N71" s="112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5"/>
      <c r="L72" s="180"/>
      <c r="M72" s="112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174" t="s">
        <v>26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5"/>
      <c r="L75" s="163"/>
      <c r="M75" s="105"/>
      <c r="N75" s="105"/>
      <c r="O75" s="66" t="s">
        <v>97</v>
      </c>
    </row>
    <row r="76" spans="1:16384" ht="18.75" customHeight="1" outlineLevel="1">
      <c r="A76" s="174" t="s">
        <v>27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5"/>
      <c r="L76" s="163"/>
      <c r="M76" s="105"/>
      <c r="N76" s="105"/>
      <c r="O76" s="66" t="s">
        <v>98</v>
      </c>
    </row>
    <row r="77" spans="1:16384" ht="21.75" customHeight="1" outlineLevel="1">
      <c r="A77" s="174" t="s">
        <v>28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5"/>
      <c r="L77" s="163"/>
      <c r="M77" s="105"/>
      <c r="N77" s="105"/>
      <c r="O77" s="66" t="s">
        <v>99</v>
      </c>
    </row>
    <row r="78" spans="1:16384" ht="18.75" customHeight="1" outlineLevel="1">
      <c r="A78" s="174" t="s">
        <v>29</v>
      </c>
      <c r="B78" s="174"/>
      <c r="C78" s="174"/>
      <c r="D78" s="174"/>
      <c r="E78" s="174"/>
      <c r="F78" s="174"/>
      <c r="G78" s="174"/>
      <c r="H78" s="174"/>
      <c r="I78" s="174"/>
      <c r="J78" s="93">
        <f>VLOOKUP(O78,АО,3,FALSE)</f>
        <v>0</v>
      </c>
      <c r="K78" s="105"/>
      <c r="L78" s="163"/>
      <c r="M78" s="105"/>
      <c r="N78" s="105"/>
      <c r="O78" s="66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3">
        <f t="shared" ref="J81:J90" si="2">VLOOKUP(O81,АО,3,FALSE)</f>
        <v>0</v>
      </c>
      <c r="K81" s="105"/>
      <c r="L81" s="181"/>
      <c r="M81" s="105"/>
      <c r="N81" s="105"/>
      <c r="O81" s="66" t="s">
        <v>101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3">
        <f t="shared" si="2"/>
        <v>0</v>
      </c>
      <c r="K82" s="105"/>
      <c r="L82" s="181"/>
      <c r="M82" s="105"/>
      <c r="N82" s="105"/>
      <c r="O82" s="66" t="s">
        <v>102</v>
      </c>
    </row>
    <row r="83" spans="1:15" outlineLevel="1">
      <c r="A83" s="171" t="s">
        <v>4</v>
      </c>
      <c r="B83" s="172"/>
      <c r="C83" s="172"/>
      <c r="D83" s="172"/>
      <c r="E83" s="172"/>
      <c r="F83" s="172"/>
      <c r="G83" s="172"/>
      <c r="H83" s="172"/>
      <c r="I83" s="173"/>
      <c r="J83" s="93">
        <f t="shared" si="2"/>
        <v>191382.56</v>
      </c>
      <c r="K83" s="105"/>
      <c r="L83" s="181"/>
      <c r="M83" s="105"/>
      <c r="N83" s="105"/>
      <c r="O83" s="66" t="s">
        <v>103</v>
      </c>
    </row>
    <row r="84" spans="1:15" outlineLevel="1">
      <c r="A84" s="171" t="s">
        <v>16</v>
      </c>
      <c r="B84" s="172"/>
      <c r="C84" s="172"/>
      <c r="D84" s="172"/>
      <c r="E84" s="172"/>
      <c r="F84" s="172"/>
      <c r="G84" s="172"/>
      <c r="H84" s="172"/>
      <c r="I84" s="173"/>
      <c r="J84" s="93">
        <f t="shared" si="2"/>
        <v>0</v>
      </c>
      <c r="K84" s="105"/>
      <c r="L84" s="181"/>
      <c r="M84" s="105"/>
      <c r="N84" s="105"/>
      <c r="O84" s="66" t="s">
        <v>104</v>
      </c>
    </row>
    <row r="85" spans="1:15" outlineLevel="1">
      <c r="A85" s="171" t="s">
        <v>17</v>
      </c>
      <c r="B85" s="172"/>
      <c r="C85" s="172"/>
      <c r="D85" s="172"/>
      <c r="E85" s="172"/>
      <c r="F85" s="172"/>
      <c r="G85" s="172"/>
      <c r="H85" s="172"/>
      <c r="I85" s="173"/>
      <c r="J85" s="93">
        <f t="shared" si="2"/>
        <v>0</v>
      </c>
      <c r="K85" s="105"/>
      <c r="L85" s="181"/>
      <c r="M85" s="105"/>
      <c r="N85" s="105"/>
      <c r="O85" s="66" t="s">
        <v>105</v>
      </c>
    </row>
    <row r="86" spans="1:15" outlineLevel="1">
      <c r="A86" s="171" t="s">
        <v>18</v>
      </c>
      <c r="B86" s="172"/>
      <c r="C86" s="172"/>
      <c r="D86" s="172"/>
      <c r="E86" s="172"/>
      <c r="F86" s="172"/>
      <c r="G86" s="172"/>
      <c r="H86" s="172"/>
      <c r="I86" s="173"/>
      <c r="J86" s="93">
        <f t="shared" si="2"/>
        <v>122199.35999999999</v>
      </c>
      <c r="K86" s="105"/>
      <c r="L86" s="181"/>
      <c r="M86" s="105"/>
      <c r="N86" s="105"/>
      <c r="O86" s="66" t="s">
        <v>106</v>
      </c>
    </row>
    <row r="87" spans="1:15" ht="18.75" customHeight="1" outlineLevel="1">
      <c r="A87" s="171" t="s">
        <v>26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05"/>
      <c r="L87" s="181"/>
      <c r="M87" s="105"/>
      <c r="N87" s="105"/>
      <c r="O87" s="66" t="s">
        <v>107</v>
      </c>
    </row>
    <row r="88" spans="1:15" ht="18.75" customHeight="1" outlineLevel="1">
      <c r="A88" s="171" t="s">
        <v>27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05"/>
      <c r="L88" s="181"/>
      <c r="M88" s="105"/>
      <c r="N88" s="105"/>
      <c r="O88" s="66" t="s">
        <v>108</v>
      </c>
    </row>
    <row r="89" spans="1:15" ht="18.75" customHeight="1" outlineLevel="1">
      <c r="A89" s="171" t="s">
        <v>28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05"/>
      <c r="L89" s="181"/>
      <c r="M89" s="105"/>
      <c r="N89" s="105"/>
      <c r="O89" s="66" t="s">
        <v>109</v>
      </c>
    </row>
    <row r="90" spans="1:15" ht="18.75" customHeight="1" outlineLevel="1">
      <c r="A90" s="171" t="s">
        <v>29</v>
      </c>
      <c r="B90" s="172"/>
      <c r="C90" s="172"/>
      <c r="D90" s="172"/>
      <c r="E90" s="172"/>
      <c r="F90" s="172"/>
      <c r="G90" s="172"/>
      <c r="H90" s="172"/>
      <c r="I90" s="173"/>
      <c r="J90" s="93">
        <f t="shared" si="2"/>
        <v>0</v>
      </c>
      <c r="K90" s="105"/>
      <c r="L90" s="181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165" t="s">
        <v>47</v>
      </c>
      <c r="B93" s="165"/>
      <c r="C93" s="165"/>
      <c r="D93" s="168" t="s">
        <v>48</v>
      </c>
      <c r="E93" s="168"/>
      <c r="F93" s="10" t="s">
        <v>49</v>
      </c>
      <c r="G93" s="165" t="s">
        <v>50</v>
      </c>
      <c r="H93" s="165"/>
      <c r="I93" s="165"/>
      <c r="J93" s="165"/>
      <c r="K93" s="105"/>
      <c r="L93" s="105"/>
      <c r="M93" s="105"/>
      <c r="N93" s="105"/>
    </row>
    <row r="94" spans="1:15" outlineLevel="1">
      <c r="A94" s="169">
        <f>IF(VLOOKUP("эл",АО,3,FALSE)&gt;0,"Электроснабжение",0)</f>
        <v>0</v>
      </c>
      <c r="B94" s="169"/>
      <c r="C94" s="169"/>
      <c r="D94" s="167">
        <f>IF(VLOOKUP("эл",АО,3,FALSE)&gt;0,VLOOKUP("эл",АО,3,FALSE),0)</f>
        <v>0</v>
      </c>
      <c r="E94" s="167"/>
      <c r="F94" s="13">
        <f>IF(VLOOKUP("эл",АО,3,FALSE)&gt;0,VLOOKUP("эл",АО,4,FALSE),0)</f>
        <v>0</v>
      </c>
      <c r="G94" s="166">
        <f>VLOOKUP("эл",АО,5,FALSE)</f>
        <v>0</v>
      </c>
      <c r="H94" s="167"/>
      <c r="I94" s="167"/>
      <c r="J94" s="167"/>
      <c r="K94" s="1" t="str">
        <f>VLOOKUP("эл",АО,2,FALSE)</f>
        <v>Электроснабжение</v>
      </c>
      <c r="L94" s="182"/>
    </row>
    <row r="95" spans="1:15" outlineLevel="2">
      <c r="A95" s="170">
        <f>IF(VLOOKUP("эл",АО,3,FALSE)&gt;0,VLOOKUP("эл1",АО,2,FALSE),0)</f>
        <v>0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0</v>
      </c>
      <c r="L95" s="182"/>
      <c r="O95" s="1" t="s">
        <v>111</v>
      </c>
    </row>
    <row r="96" spans="1:15" outlineLevel="2">
      <c r="A96" s="170">
        <f>IF(VLOOKUP("эл",АО,3,FALSE)&gt;0,VLOOKUP("эл2",АО,2,FALSE),0)</f>
        <v>0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0</v>
      </c>
      <c r="L96" s="182"/>
      <c r="O96" s="1" t="s">
        <v>112</v>
      </c>
    </row>
    <row r="97" spans="1:15" outlineLevel="2">
      <c r="A97" s="170">
        <f>IF(VLOOKUP("эл",АО,3,FALSE)&gt;0,VLOOKUP("эл3",АО,2,FALSE),0)</f>
        <v>0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82"/>
      <c r="O97" s="1" t="s">
        <v>113</v>
      </c>
    </row>
    <row r="98" spans="1:15" ht="37.5" customHeight="1" outlineLevel="2">
      <c r="A98" s="170">
        <f>IF(VLOOKUP("эл",АО,3,FALSE)&gt;0,VLOOKUP("эл4",АО,2,FALSE),0)</f>
        <v>0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0</v>
      </c>
      <c r="L98" s="182"/>
      <c r="O98" s="1" t="s">
        <v>114</v>
      </c>
    </row>
    <row r="99" spans="1:15" outlineLevel="2">
      <c r="A99" s="170">
        <f>IF(VLOOKUP("эл",АО,3,FALSE)&gt;0,VLOOKUP("эл5",АО,2,FALSE),0)</f>
        <v>0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0</v>
      </c>
      <c r="L99" s="182"/>
      <c r="O99" s="1" t="s">
        <v>115</v>
      </c>
    </row>
    <row r="100" spans="1:15" ht="39" customHeight="1" outlineLevel="2">
      <c r="A100" s="170">
        <f>IF(VLOOKUP("эл",АО,3,FALSE)&gt;0,VLOOKUP("эл6",АО,2,FALSE),0)</f>
        <v>0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82"/>
      <c r="O100" s="1" t="s">
        <v>116</v>
      </c>
    </row>
    <row r="101" spans="1:15" ht="34.5" customHeight="1" outlineLevel="2">
      <c r="A101" s="170">
        <f>IF(VLOOKUP("эл",АО,3,FALSE)&gt;0,VLOOKUP("эл7",АО,2,FALSE),0)</f>
        <v>0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82"/>
      <c r="O101" s="1" t="s">
        <v>117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6">
        <f>VLOOKUP("хвс",АО,5,FALSE)</f>
        <v>238434.52</v>
      </c>
      <c r="H102" s="167"/>
      <c r="I102" s="167"/>
      <c r="J102" s="167"/>
      <c r="L102" s="182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14948.872727272726</v>
      </c>
      <c r="L103" s="182"/>
      <c r="O103" s="1" t="s">
        <v>120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262917.37</v>
      </c>
      <c r="L104" s="182"/>
      <c r="O104" s="1" t="s">
        <v>121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82"/>
      <c r="O105" s="1" t="s">
        <v>122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238434.52</v>
      </c>
      <c r="L106" s="182"/>
      <c r="O106" s="1" t="s">
        <v>123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238434.52</v>
      </c>
      <c r="L107" s="182"/>
      <c r="O107" s="1" t="s">
        <v>124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82"/>
      <c r="O108" s="1" t="s">
        <v>125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82"/>
      <c r="O109" s="1" t="s">
        <v>126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6">
        <f>VLOOKUP("воо",АО,5,FALSE)</f>
        <v>245715.27</v>
      </c>
      <c r="H110" s="167"/>
      <c r="I110" s="167"/>
      <c r="J110" s="167"/>
      <c r="L110" s="182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12672.267663744196</v>
      </c>
      <c r="L111" s="182"/>
      <c r="O111" s="1" t="s">
        <v>128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290415.62</v>
      </c>
      <c r="L112" s="182"/>
      <c r="O112" s="1" t="s">
        <v>129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82"/>
      <c r="O113" s="1" t="s">
        <v>130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245715.27</v>
      </c>
      <c r="L114" s="182"/>
      <c r="O114" s="1" t="s">
        <v>131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245715.27</v>
      </c>
      <c r="L115" s="182"/>
      <c r="O115" s="1" t="s">
        <v>132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82"/>
      <c r="O116" s="1" t="s">
        <v>133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82"/>
      <c r="O117" s="1" t="s">
        <v>134</v>
      </c>
    </row>
    <row r="118" spans="1:15" ht="32.25" hidden="1" customHeight="1" outlineLevel="1">
      <c r="A118" s="169">
        <f>IF(VLOOKUP("тко",АО,3,FALSE)&gt;0,"Обращение с ТКО",0)</f>
        <v>0</v>
      </c>
      <c r="B118" s="169"/>
      <c r="C118" s="169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6">
        <f>VLOOKUP("тко",АО,5,FALSE)</f>
        <v>0</v>
      </c>
      <c r="H118" s="167"/>
      <c r="I118" s="167"/>
      <c r="J118" s="167"/>
      <c r="L118" s="44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6">
        <f>VLOOKUP("гвс",АО,5,FALSE)</f>
        <v>0</v>
      </c>
      <c r="H126" s="167"/>
      <c r="I126" s="167"/>
      <c r="J126" s="167"/>
      <c r="L126" s="44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6">
        <f>VLOOKUP("отопление",АО,5,FALSE)</f>
        <v>0</v>
      </c>
      <c r="H134" s="167"/>
      <c r="I134" s="167"/>
      <c r="J134" s="167"/>
      <c r="L134" s="44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164" t="s">
        <v>44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7</v>
      </c>
      <c r="O144" t="s">
        <v>168</v>
      </c>
    </row>
    <row r="145" spans="1:15" ht="18.75" customHeight="1" outlineLevel="1">
      <c r="A145" s="164" t="s">
        <v>45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64" t="s">
        <v>171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96320.16</v>
      </c>
      <c r="O146" t="s">
        <v>170</v>
      </c>
    </row>
    <row r="149" spans="1:15" ht="52.5" customHeight="1">
      <c r="A149" s="160" t="s">
        <v>176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9" t="s">
        <v>195</v>
      </c>
      <c r="B154" s="159"/>
      <c r="C154" s="159"/>
      <c r="D154" s="159"/>
      <c r="E154" s="27">
        <f>ПТО!G1</f>
        <v>-475159.2</v>
      </c>
    </row>
    <row r="155" spans="1:15" ht="34.5" customHeight="1">
      <c r="A155" s="161" t="s">
        <v>194</v>
      </c>
      <c r="B155" s="161"/>
      <c r="C155" s="161"/>
      <c r="D155" s="161"/>
      <c r="E155" s="28">
        <f>J13</f>
        <v>294666.83999999997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56</v>
      </c>
      <c r="I157" s="162" t="s">
        <v>21</v>
      </c>
      <c r="J157" s="162"/>
    </row>
    <row r="158" spans="1:15" ht="29.25" customHeight="1">
      <c r="A158" s="156" t="str">
        <f t="shared" ref="A158:A163" si="14">IF(N158&gt;0,N158,0)</f>
        <v>Техническое освидетельствование лифтов.</v>
      </c>
      <c r="B158" s="156"/>
      <c r="C158" s="156"/>
      <c r="D158" s="156"/>
      <c r="E158" s="156"/>
      <c r="F158" s="157">
        <f t="shared" ref="F158:F163" si="15">IF(ISERROR(VLOOKUP(A158,$A$28:$J$72,6,FALSE)),0,VLOOKUP(A158,$A$28:$J$72,6,FALSE))</f>
        <v>15000</v>
      </c>
      <c r="G158" s="157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2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6" t="str">
        <f t="shared" si="14"/>
        <v>Техническое обслуживание охранной сигнализации.</v>
      </c>
      <c r="B159" s="156"/>
      <c r="C159" s="156"/>
      <c r="D159" s="156"/>
      <c r="E159" s="156"/>
      <c r="F159" s="157">
        <f t="shared" si="15"/>
        <v>12000</v>
      </c>
      <c r="G159" s="157"/>
      <c r="H159" s="24" t="str">
        <f t="shared" si="16"/>
        <v>ежемесячно</v>
      </c>
      <c r="I159" s="158">
        <f t="shared" si="17"/>
        <v>12</v>
      </c>
      <c r="J159" s="158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6" t="str">
        <f t="shared" si="14"/>
        <v>Механизированная уборка и вывоз снега с придомовой территории.</v>
      </c>
      <c r="B160" s="156"/>
      <c r="C160" s="156"/>
      <c r="D160" s="156"/>
      <c r="E160" s="156"/>
      <c r="F160" s="157">
        <f t="shared" si="15"/>
        <v>9649.41</v>
      </c>
      <c r="G160" s="157"/>
      <c r="H160" s="24" t="str">
        <f t="shared" si="16"/>
        <v>разово</v>
      </c>
      <c r="I160" s="158">
        <f t="shared" si="17"/>
        <v>1</v>
      </c>
      <c r="J160" s="158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6" t="str">
        <f>IF(N161&gt;0,N161,0)</f>
        <v>Генеральная уборка подъездов.</v>
      </c>
      <c r="B161" s="156"/>
      <c r="C161" s="156"/>
      <c r="D161" s="156"/>
      <c r="E161" s="156"/>
      <c r="F161" s="157">
        <f t="shared" si="15"/>
        <v>19455.169999999998</v>
      </c>
      <c r="G161" s="157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Генеральная уборка подъездов.</v>
      </c>
    </row>
    <row r="162" spans="1:14" ht="28.5" customHeight="1">
      <c r="A162" s="156" t="str">
        <f t="shared" si="14"/>
        <v>Благоустройство придомовой территории (ремонт асфальтового покрытия).</v>
      </c>
      <c r="B162" s="156"/>
      <c r="C162" s="156"/>
      <c r="D162" s="156"/>
      <c r="E162" s="156"/>
      <c r="F162" s="157">
        <f t="shared" si="15"/>
        <v>6700</v>
      </c>
      <c r="G162" s="157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71</v>
      </c>
      <c r="N162" s="1" t="str">
        <v>Благоустройство придомовой территории (ремонт асфальтового покрытия).</v>
      </c>
    </row>
    <row r="163" spans="1:14" ht="28.5" customHeight="1">
      <c r="A163" s="156" t="str">
        <f t="shared" si="14"/>
        <v>Приобретение и замена шарового крана Ду40, обратного клапана Ду40 в ИТП.</v>
      </c>
      <c r="B163" s="156"/>
      <c r="C163" s="156"/>
      <c r="D163" s="156"/>
      <c r="E163" s="156"/>
      <c r="F163" s="157">
        <f t="shared" si="15"/>
        <v>12745</v>
      </c>
      <c r="G163" s="157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71</v>
      </c>
      <c r="N163" s="1" t="str">
        <v>Приобретение и замена шарового крана Ду40, обратного клапана Ду40 в ИТП.</v>
      </c>
    </row>
    <row r="164" spans="1:14" ht="28.5" customHeight="1">
      <c r="A164" s="156" t="str">
        <f t="shared" ref="A164:A187" si="18">IF(N164&gt;0,N164,0)</f>
        <v>Приобретение и замена обратного трубопровода (в 1 и 2 подвальном помещении).</v>
      </c>
      <c r="B164" s="156"/>
      <c r="C164" s="156"/>
      <c r="D164" s="156"/>
      <c r="E164" s="156"/>
      <c r="F164" s="157">
        <f t="shared" ref="F164:F187" si="19">IF(ISERROR(VLOOKUP(A164,$A$28:$J$72,6,FALSE)),0,VLOOKUP(A164,$A$28:$J$72,6,FALSE))</f>
        <v>17000</v>
      </c>
      <c r="G164" s="157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71</v>
      </c>
      <c r="N164" s="1" t="str">
        <v>Приобретение и замена обратного трубопровода (в 1 и 2 подвальном помещении).</v>
      </c>
    </row>
    <row r="165" spans="1:14" ht="28.5" customHeight="1">
      <c r="A165" s="156" t="str">
        <f t="shared" si="18"/>
        <v>Приобретение и замена трехходовых шаровых кранов (8 шт.).</v>
      </c>
      <c r="B165" s="156"/>
      <c r="C165" s="156"/>
      <c r="D165" s="156"/>
      <c r="E165" s="156"/>
      <c r="F165" s="157">
        <f t="shared" si="19"/>
        <v>3344</v>
      </c>
      <c r="G165" s="157"/>
      <c r="H165" s="29" t="str">
        <f t="shared" si="16"/>
        <v>разово</v>
      </c>
      <c r="I165" s="158">
        <f t="shared" si="20"/>
        <v>1</v>
      </c>
      <c r="J165" s="158"/>
      <c r="M165" s="22" t="s">
        <v>71</v>
      </c>
      <c r="N165" s="1" t="str">
        <v>Приобретение и замена трехходовых шаровых кранов (8 шт.).</v>
      </c>
    </row>
    <row r="166" spans="1:14" ht="28.5" customHeight="1">
      <c r="A166" s="156" t="str">
        <f t="shared" si="18"/>
        <v>Приобретение и замена модема в ИТП.</v>
      </c>
      <c r="B166" s="156"/>
      <c r="C166" s="156"/>
      <c r="D166" s="156"/>
      <c r="E166" s="156"/>
      <c r="F166" s="157">
        <f t="shared" si="19"/>
        <v>5200</v>
      </c>
      <c r="G166" s="157"/>
      <c r="H166" s="29" t="str">
        <f t="shared" si="16"/>
        <v>разово</v>
      </c>
      <c r="I166" s="158">
        <f t="shared" si="20"/>
        <v>1</v>
      </c>
      <c r="J166" s="158"/>
      <c r="M166" s="22" t="s">
        <v>71</v>
      </c>
      <c r="N166" s="1" t="str">
        <v>Приобретение и замена модема в ИТП.</v>
      </c>
    </row>
    <row r="167" spans="1:14" ht="28.5" customHeight="1">
      <c r="A167" s="156" t="str">
        <f t="shared" si="18"/>
        <v>Приобретение грязезащитных ковриков в подъезды (4 шт.).</v>
      </c>
      <c r="B167" s="156"/>
      <c r="C167" s="156"/>
      <c r="D167" s="156"/>
      <c r="E167" s="156"/>
      <c r="F167" s="157">
        <f t="shared" si="19"/>
        <v>7960</v>
      </c>
      <c r="G167" s="157"/>
      <c r="H167" s="29" t="str">
        <f t="shared" si="16"/>
        <v>разово</v>
      </c>
      <c r="I167" s="158">
        <f t="shared" si="20"/>
        <v>1</v>
      </c>
      <c r="J167" s="158"/>
      <c r="M167" s="22" t="s">
        <v>71</v>
      </c>
      <c r="N167" s="1" t="str">
        <v>Приобретение грязезащитных ковриков в подъезды (4 шт.).</v>
      </c>
    </row>
    <row r="168" spans="1:14" ht="28.5" customHeight="1">
      <c r="A168" s="156" t="str">
        <f t="shared" si="18"/>
        <v>Приобретение и замена кнопочного модуля, поста управления и табло индикации пассажирского лифта (2 подъезд).</v>
      </c>
      <c r="B168" s="156"/>
      <c r="C168" s="156"/>
      <c r="D168" s="156"/>
      <c r="E168" s="156"/>
      <c r="F168" s="157">
        <f t="shared" si="19"/>
        <v>16850</v>
      </c>
      <c r="G168" s="157"/>
      <c r="H168" s="29" t="str">
        <f t="shared" si="16"/>
        <v>разово</v>
      </c>
      <c r="I168" s="158">
        <f t="shared" si="20"/>
        <v>1</v>
      </c>
      <c r="J168" s="158"/>
      <c r="M168" s="22" t="s">
        <v>71</v>
      </c>
      <c r="N168" s="1" t="str">
        <v>Приобретение и замена кнопочного модуля, поста управления и табло индикации пассажирского лифта (2 подъезд).</v>
      </c>
    </row>
    <row r="169" spans="1:14" ht="28.5" customHeight="1">
      <c r="A169" s="156" t="str">
        <f t="shared" si="18"/>
        <v>Ремонт прибора учета тепловой энергии.</v>
      </c>
      <c r="B169" s="156"/>
      <c r="C169" s="156"/>
      <c r="D169" s="156"/>
      <c r="E169" s="156"/>
      <c r="F169" s="157">
        <f t="shared" si="19"/>
        <v>12300</v>
      </c>
      <c r="G169" s="157"/>
      <c r="H169" s="29" t="str">
        <f t="shared" si="16"/>
        <v>разово</v>
      </c>
      <c r="I169" s="158">
        <f t="shared" si="20"/>
        <v>1</v>
      </c>
      <c r="J169" s="158"/>
      <c r="M169" s="22" t="s">
        <v>71</v>
      </c>
      <c r="N169" s="1" t="str">
        <v>Ремонт прибора учета тепловой энергии.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57">
        <f t="shared" si="19"/>
        <v>0</v>
      </c>
      <c r="G170" s="157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57">
        <f t="shared" si="19"/>
        <v>0</v>
      </c>
      <c r="G171" s="157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57">
        <f t="shared" si="19"/>
        <v>0</v>
      </c>
      <c r="G172" s="157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57">
        <f t="shared" si="19"/>
        <v>0</v>
      </c>
      <c r="G173" s="157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57">
        <f t="shared" si="19"/>
        <v>0</v>
      </c>
      <c r="G174" s="157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57">
        <f t="shared" si="19"/>
        <v>0</v>
      </c>
      <c r="G175" s="157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57">
        <f t="shared" si="19"/>
        <v>0</v>
      </c>
      <c r="G176" s="157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57">
        <f t="shared" si="19"/>
        <v>0</v>
      </c>
      <c r="G177" s="157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57">
        <f t="shared" si="19"/>
        <v>0</v>
      </c>
      <c r="G178" s="157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57">
        <f t="shared" si="19"/>
        <v>0</v>
      </c>
      <c r="G179" s="157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57">
        <f t="shared" si="19"/>
        <v>0</v>
      </c>
      <c r="G180" s="157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57">
        <f t="shared" si="19"/>
        <v>0</v>
      </c>
      <c r="G181" s="157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57">
        <f t="shared" si="19"/>
        <v>0</v>
      </c>
      <c r="G182" s="157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57">
        <f t="shared" si="19"/>
        <v>0</v>
      </c>
      <c r="G183" s="157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57">
        <f t="shared" si="19"/>
        <v>0</v>
      </c>
      <c r="G184" s="157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57">
        <f t="shared" si="19"/>
        <v>0</v>
      </c>
      <c r="G185" s="157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57">
        <f t="shared" si="19"/>
        <v>0</v>
      </c>
      <c r="G186" s="157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57">
        <f t="shared" si="19"/>
        <v>0</v>
      </c>
      <c r="G187" s="157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15" customHeight="1">
      <c r="A188" s="100" t="s">
        <v>172</v>
      </c>
    </row>
    <row r="189" spans="1:14" ht="15" customHeight="1">
      <c r="A189" s="100" t="s">
        <v>172</v>
      </c>
    </row>
    <row r="190" spans="1:14" ht="36.75" customHeight="1">
      <c r="A190" s="159" t="s">
        <v>193</v>
      </c>
      <c r="B190" s="159"/>
      <c r="C190" s="159"/>
      <c r="D190" s="159"/>
      <c r="E190" s="27">
        <f>SUM(F158:G187)</f>
        <v>138203.58000000002</v>
      </c>
    </row>
    <row r="191" spans="1:14" ht="51.75" customHeight="1">
      <c r="A191" s="159" t="s">
        <v>192</v>
      </c>
      <c r="B191" s="159"/>
      <c r="C191" s="159"/>
      <c r="D191" s="159"/>
      <c r="E191" s="27">
        <f>E190+E154-E155</f>
        <v>-631622.46</v>
      </c>
    </row>
    <row r="192" spans="1:14">
      <c r="A192" s="100" t="s">
        <v>172</v>
      </c>
    </row>
    <row r="193" spans="1:10" ht="62.25" customHeight="1">
      <c r="A193" s="184" t="s">
        <v>191</v>
      </c>
      <c r="B193" s="184"/>
      <c r="C193" s="184"/>
      <c r="D193" s="184"/>
      <c r="E193" s="184"/>
      <c r="F193" s="184"/>
      <c r="G193" s="184"/>
      <c r="H193" s="184"/>
      <c r="I193" s="184"/>
      <c r="J193" s="184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45">
        <f>ПТО!G12</f>
        <v>1200</v>
      </c>
      <c r="I194" s="46" t="s">
        <v>73</v>
      </c>
    </row>
    <row r="195" spans="1:10" ht="18.75" customHeight="1">
      <c r="A195" s="183" t="str">
        <f>ПТО!F13</f>
        <v xml:space="preserve">  -  техническое освидетельствование лифтов</v>
      </c>
      <c r="B195" s="183"/>
      <c r="C195" s="183"/>
      <c r="D195" s="183"/>
      <c r="E195" s="183"/>
      <c r="F195" s="183"/>
      <c r="G195" s="183"/>
      <c r="H195" s="45">
        <f>ПТО!G13</f>
        <v>15000</v>
      </c>
      <c r="I195" s="46" t="s">
        <v>73</v>
      </c>
    </row>
    <row r="196" spans="1:10" ht="18.75" customHeight="1">
      <c r="A196" s="183" t="str">
        <f>ПТО!F14</f>
        <v xml:space="preserve">  -  техническое обслуживание охранной сигнализации</v>
      </c>
      <c r="B196" s="183"/>
      <c r="C196" s="183"/>
      <c r="D196" s="183"/>
      <c r="E196" s="183"/>
      <c r="F196" s="183"/>
      <c r="G196" s="183"/>
      <c r="H196" s="45">
        <f>ПТО!G14</f>
        <v>13200</v>
      </c>
      <c r="I196" s="46" t="s">
        <v>73</v>
      </c>
    </row>
    <row r="197" spans="1:10" ht="18.75" customHeight="1">
      <c r="A197" s="183" t="str">
        <f>ПТО!F15</f>
        <v xml:space="preserve">  -  механизированная уборка и вывоз снега с придомовой территории</v>
      </c>
      <c r="B197" s="183"/>
      <c r="C197" s="183"/>
      <c r="D197" s="183"/>
      <c r="E197" s="183"/>
      <c r="F197" s="183"/>
      <c r="G197" s="183"/>
      <c r="H197" s="45">
        <f>ПТО!G15</f>
        <v>25000</v>
      </c>
      <c r="I197" s="46" t="s">
        <v>73</v>
      </c>
    </row>
    <row r="198" spans="1:10" ht="18.75" customHeight="1">
      <c r="A198" s="183" t="str">
        <f>ПТО!F16</f>
        <v xml:space="preserve">  -  благоустройство территории (завоз песка, чернозема, приобретение рассады)</v>
      </c>
      <c r="B198" s="183"/>
      <c r="C198" s="183"/>
      <c r="D198" s="183"/>
      <c r="E198" s="183"/>
      <c r="F198" s="183"/>
      <c r="G198" s="183"/>
      <c r="H198" s="45">
        <f>ПТО!G16</f>
        <v>5000</v>
      </c>
      <c r="I198" s="48" t="s">
        <v>73</v>
      </c>
    </row>
    <row r="199" spans="1:10" ht="18.75" customHeight="1">
      <c r="A199" s="183" t="str">
        <f>ПТО!F17</f>
        <v xml:space="preserve">  -  замена деревянной двери в 1, 2-ом подъезде</v>
      </c>
      <c r="B199" s="183"/>
      <c r="C199" s="183"/>
      <c r="D199" s="183"/>
      <c r="E199" s="183"/>
      <c r="F199" s="183"/>
      <c r="G199" s="183"/>
      <c r="H199" s="45">
        <f>ПТО!G17</f>
        <v>120000</v>
      </c>
      <c r="I199" s="46" t="s">
        <v>73</v>
      </c>
    </row>
    <row r="200" spans="1:10">
      <c r="A200" s="183" t="str">
        <f>ПТО!F18</f>
        <v xml:space="preserve">  -  генеральная уборка в подъездах</v>
      </c>
      <c r="B200" s="183"/>
      <c r="C200" s="183"/>
      <c r="D200" s="183"/>
      <c r="E200" s="183"/>
      <c r="F200" s="183"/>
      <c r="G200" s="183"/>
      <c r="H200" s="45">
        <f>ПТО!G18</f>
        <v>20000</v>
      </c>
      <c r="I200" s="46" t="s">
        <v>73</v>
      </c>
    </row>
    <row r="201" spans="1:10">
      <c r="A201" s="183" t="str">
        <f>ПТО!F19</f>
        <v xml:space="preserve">  -  монтаж системы видеонаблюдения</v>
      </c>
      <c r="B201" s="183"/>
      <c r="C201" s="183"/>
      <c r="D201" s="183"/>
      <c r="E201" s="183"/>
      <c r="F201" s="183"/>
      <c r="G201" s="183"/>
      <c r="H201" s="45">
        <f>ПТО!G19</f>
        <v>210000</v>
      </c>
      <c r="I201" s="46" t="s">
        <v>73</v>
      </c>
    </row>
    <row r="202" spans="1:10">
      <c r="A202" s="183" t="str">
        <f>ПТО!F20</f>
        <v xml:space="preserve">  -  ремонт 2-х подъездов</v>
      </c>
      <c r="B202" s="183"/>
      <c r="C202" s="183"/>
      <c r="D202" s="183"/>
      <c r="E202" s="183"/>
      <c r="F202" s="183"/>
      <c r="G202" s="183"/>
      <c r="H202" s="45">
        <f>ПТО!G20</f>
        <v>700000</v>
      </c>
      <c r="I202" s="46" t="s">
        <v>73</v>
      </c>
    </row>
    <row r="203" spans="1:10">
      <c r="A203" s="183" t="str">
        <f>ПТО!F21</f>
        <v xml:space="preserve">  -  ремонт теплообменника в ИТП</v>
      </c>
      <c r="B203" s="183"/>
      <c r="C203" s="183"/>
      <c r="D203" s="183"/>
      <c r="E203" s="183"/>
      <c r="F203" s="183"/>
      <c r="G203" s="183"/>
      <c r="H203" s="45">
        <f>ПТО!G21</f>
        <v>150000</v>
      </c>
      <c r="I203" s="46" t="s">
        <v>73</v>
      </c>
    </row>
    <row r="204" spans="1:10" hidden="1">
      <c r="A204" s="183">
        <f>ПТО!F22</f>
        <v>0</v>
      </c>
      <c r="B204" s="183"/>
      <c r="C204" s="183"/>
      <c r="D204" s="183"/>
      <c r="E204" s="183"/>
      <c r="F204" s="183"/>
      <c r="G204" s="183"/>
      <c r="H204" s="45">
        <f>ПТО!G22</f>
        <v>0</v>
      </c>
      <c r="I204" s="46" t="s">
        <v>73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45">
        <f>ПТО!G23</f>
        <v>0</v>
      </c>
      <c r="I205" s="46" t="s">
        <v>73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45">
        <f>ПТО!G24</f>
        <v>0</v>
      </c>
      <c r="I206" s="46" t="s">
        <v>73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45">
        <f>ПТО!G25</f>
        <v>0</v>
      </c>
      <c r="I207" s="46" t="s">
        <v>73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45">
        <f>ПТО!G26</f>
        <v>0</v>
      </c>
      <c r="I208" s="46" t="s">
        <v>73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45">
        <f>ПТО!G27</f>
        <v>0</v>
      </c>
      <c r="I209" s="46" t="s">
        <v>73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45">
        <f>ПТО!G28</f>
        <v>0</v>
      </c>
      <c r="I210" s="46" t="s">
        <v>73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45">
        <f>ПТО!G29</f>
        <v>0</v>
      </c>
      <c r="I211" s="46" t="s">
        <v>73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45">
        <f>ПТО!G30</f>
        <v>0</v>
      </c>
      <c r="I212" s="46" t="s">
        <v>73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1259400</v>
      </c>
      <c r="I214" s="52" t="s">
        <v>75</v>
      </c>
    </row>
  </sheetData>
  <sheetProtection algorithmName="SHA-512" hashValue="yWb2fsdbupOWBD5jauXWtCY3BGlMHg/PAEjJcABE9bn89Qzpxx6cn+zwID1BDDnDUQZmebDsBTMgMukdN6BZjA==" saltValue="VgH8JRhRRrH2W7Azm2U/N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71.5703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18" t="s">
        <v>19</v>
      </c>
      <c r="B1" s="118" t="s">
        <v>56</v>
      </c>
      <c r="C1" s="118" t="s">
        <v>21</v>
      </c>
      <c r="D1" s="118" t="s">
        <v>20</v>
      </c>
      <c r="E1" s="119"/>
      <c r="F1" s="96" t="s">
        <v>195</v>
      </c>
      <c r="G1" s="97">
        <f>-475159.2</f>
        <v>-475159.2</v>
      </c>
    </row>
    <row r="2" spans="1:12" ht="18.75" customHeight="1">
      <c r="A2" s="120" t="s">
        <v>178</v>
      </c>
      <c r="B2" s="121" t="s">
        <v>174</v>
      </c>
      <c r="C2" s="121">
        <v>2</v>
      </c>
      <c r="D2" s="122">
        <v>15000</v>
      </c>
      <c r="E2" s="123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182</v>
      </c>
      <c r="B3" s="121" t="s">
        <v>185</v>
      </c>
      <c r="C3" s="121">
        <v>12</v>
      </c>
      <c r="D3" s="122">
        <v>12000</v>
      </c>
      <c r="E3" s="123" t="s">
        <v>203</v>
      </c>
      <c r="F3" s="30"/>
      <c r="G3" s="30"/>
      <c r="L3" s="33" t="str">
        <f t="shared" si="0"/>
        <v>ТР</v>
      </c>
    </row>
    <row r="4" spans="1:12" ht="31.5" customHeight="1">
      <c r="A4" s="124" t="s">
        <v>196</v>
      </c>
      <c r="B4" s="125" t="s">
        <v>197</v>
      </c>
      <c r="C4" s="126">
        <v>1</v>
      </c>
      <c r="D4" s="127">
        <v>9649.41</v>
      </c>
      <c r="E4" s="123" t="s">
        <v>201</v>
      </c>
      <c r="F4" s="30"/>
      <c r="G4" s="30"/>
      <c r="L4" s="33" t="str">
        <f t="shared" si="0"/>
        <v>ТР</v>
      </c>
    </row>
    <row r="5" spans="1:12" ht="27" customHeight="1">
      <c r="A5" s="128" t="s">
        <v>198</v>
      </c>
      <c r="B5" s="129" t="s">
        <v>197</v>
      </c>
      <c r="C5" s="126">
        <v>1</v>
      </c>
      <c r="D5" s="127">
        <v>19455.169999999998</v>
      </c>
      <c r="E5" s="123" t="s">
        <v>199</v>
      </c>
      <c r="F5" s="41"/>
      <c r="G5" s="41"/>
      <c r="K5" s="43"/>
      <c r="L5" s="33" t="str">
        <f t="shared" si="0"/>
        <v>ТР</v>
      </c>
    </row>
    <row r="6" spans="1:12" ht="33" customHeight="1">
      <c r="A6" s="130" t="s">
        <v>204</v>
      </c>
      <c r="B6" s="121" t="s">
        <v>197</v>
      </c>
      <c r="C6" s="121">
        <v>1</v>
      </c>
      <c r="D6" s="122">
        <v>6700</v>
      </c>
      <c r="E6" s="131" t="s">
        <v>205</v>
      </c>
      <c r="F6" s="41"/>
      <c r="G6" s="41"/>
      <c r="K6" s="43"/>
      <c r="L6" s="33" t="str">
        <f t="shared" si="0"/>
        <v>ТР</v>
      </c>
    </row>
    <row r="7" spans="1:12" ht="29.25" customHeight="1">
      <c r="A7" s="132" t="s">
        <v>200</v>
      </c>
      <c r="B7" s="133" t="s">
        <v>197</v>
      </c>
      <c r="C7" s="134">
        <v>1</v>
      </c>
      <c r="D7" s="135">
        <f>2915+9830</f>
        <v>12745</v>
      </c>
      <c r="E7" s="136" t="s">
        <v>206</v>
      </c>
      <c r="F7" s="42"/>
      <c r="G7" s="42"/>
      <c r="K7" s="43"/>
      <c r="L7" s="33" t="str">
        <f t="shared" si="0"/>
        <v>ТР</v>
      </c>
    </row>
    <row r="8" spans="1:12" ht="33" customHeight="1">
      <c r="A8" s="137" t="s">
        <v>216</v>
      </c>
      <c r="B8" s="138" t="s">
        <v>197</v>
      </c>
      <c r="C8" s="139">
        <v>1</v>
      </c>
      <c r="D8" s="140">
        <v>17000</v>
      </c>
      <c r="E8" s="141" t="s">
        <v>208</v>
      </c>
      <c r="F8" s="42"/>
      <c r="G8" s="42"/>
      <c r="K8" s="40"/>
      <c r="L8" s="33" t="str">
        <f t="shared" si="0"/>
        <v>ТР</v>
      </c>
    </row>
    <row r="9" spans="1:12">
      <c r="A9" s="137" t="s">
        <v>210</v>
      </c>
      <c r="B9" s="142" t="s">
        <v>197</v>
      </c>
      <c r="C9" s="139">
        <v>1</v>
      </c>
      <c r="D9" s="140">
        <v>3344</v>
      </c>
      <c r="E9" s="131" t="s">
        <v>211</v>
      </c>
      <c r="F9" s="41"/>
      <c r="G9" s="41"/>
      <c r="K9" s="40"/>
      <c r="L9" s="33" t="str">
        <f t="shared" si="0"/>
        <v>ТР</v>
      </c>
    </row>
    <row r="10" spans="1:12">
      <c r="A10" s="137" t="s">
        <v>212</v>
      </c>
      <c r="B10" s="138" t="s">
        <v>197</v>
      </c>
      <c r="C10" s="139">
        <v>1</v>
      </c>
      <c r="D10" s="140">
        <v>5200</v>
      </c>
      <c r="E10" s="141" t="s">
        <v>213</v>
      </c>
      <c r="L10" s="33" t="str">
        <f t="shared" si="0"/>
        <v>ТР</v>
      </c>
    </row>
    <row r="11" spans="1:12" ht="94.5">
      <c r="A11" s="143" t="s">
        <v>207</v>
      </c>
      <c r="B11" s="138" t="s">
        <v>197</v>
      </c>
      <c r="C11" s="139">
        <v>1</v>
      </c>
      <c r="D11" s="140">
        <v>7960</v>
      </c>
      <c r="E11" s="141" t="s">
        <v>214</v>
      </c>
      <c r="F11" s="107" t="s">
        <v>191</v>
      </c>
      <c r="G11" s="107"/>
      <c r="L11" s="33" t="str">
        <f t="shared" si="0"/>
        <v>ТР</v>
      </c>
    </row>
    <row r="12" spans="1:12" ht="45">
      <c r="A12" s="144" t="s">
        <v>218</v>
      </c>
      <c r="B12" s="145" t="s">
        <v>197</v>
      </c>
      <c r="C12" s="126">
        <v>1</v>
      </c>
      <c r="D12" s="127">
        <v>16850</v>
      </c>
      <c r="E12" s="146" t="s">
        <v>215</v>
      </c>
      <c r="F12" s="108" t="s">
        <v>72</v>
      </c>
      <c r="G12" s="109">
        <v>1200</v>
      </c>
      <c r="L12" s="33" t="str">
        <f t="shared" si="0"/>
        <v>ТР</v>
      </c>
    </row>
    <row r="13" spans="1:12" ht="31.5">
      <c r="A13" s="147" t="s">
        <v>209</v>
      </c>
      <c r="B13" s="121" t="s">
        <v>197</v>
      </c>
      <c r="C13" s="121">
        <v>1</v>
      </c>
      <c r="D13" s="148">
        <v>12300</v>
      </c>
      <c r="E13" s="123" t="s">
        <v>217</v>
      </c>
      <c r="F13" s="108" t="s">
        <v>181</v>
      </c>
      <c r="G13" s="109">
        <v>15000</v>
      </c>
      <c r="L13" s="33" t="str">
        <f t="shared" si="0"/>
        <v>ТР</v>
      </c>
    </row>
    <row r="14" spans="1:12" ht="31.5">
      <c r="A14" s="30"/>
      <c r="F14" s="108" t="s">
        <v>180</v>
      </c>
      <c r="G14" s="110">
        <v>13200</v>
      </c>
      <c r="L14" s="33">
        <f t="shared" si="0"/>
        <v>0</v>
      </c>
    </row>
    <row r="15" spans="1:12" ht="15.75">
      <c r="A15" s="30"/>
      <c r="F15" s="114" t="s">
        <v>188</v>
      </c>
      <c r="G15" s="110">
        <v>25000</v>
      </c>
      <c r="L15" s="33">
        <f t="shared" si="0"/>
        <v>0</v>
      </c>
    </row>
    <row r="16" spans="1:12" ht="15.75">
      <c r="A16" s="30"/>
      <c r="F16" s="115" t="s">
        <v>183</v>
      </c>
      <c r="G16" s="116">
        <v>5000</v>
      </c>
      <c r="L16" s="33">
        <f t="shared" si="0"/>
        <v>0</v>
      </c>
    </row>
    <row r="17" spans="1:12" ht="15.75">
      <c r="A17" s="30"/>
      <c r="F17" s="114" t="s">
        <v>190</v>
      </c>
      <c r="G17" s="110">
        <v>120000</v>
      </c>
      <c r="L17" s="33">
        <f t="shared" si="0"/>
        <v>0</v>
      </c>
    </row>
    <row r="18" spans="1:12" ht="15.75">
      <c r="A18" s="30"/>
      <c r="F18" s="114" t="s">
        <v>184</v>
      </c>
      <c r="G18" s="110">
        <v>20000</v>
      </c>
      <c r="L18" s="33">
        <f t="shared" si="0"/>
        <v>0</v>
      </c>
    </row>
    <row r="19" spans="1:12" ht="15.75">
      <c r="A19" s="30"/>
      <c r="F19" s="114" t="s">
        <v>186</v>
      </c>
      <c r="G19" s="110">
        <v>210000</v>
      </c>
      <c r="L19" s="33">
        <f t="shared" si="0"/>
        <v>0</v>
      </c>
    </row>
    <row r="20" spans="1:12" ht="15.75">
      <c r="A20" s="30"/>
      <c r="F20" s="114" t="s">
        <v>187</v>
      </c>
      <c r="G20" s="110">
        <v>700000</v>
      </c>
      <c r="L20" s="33">
        <f t="shared" si="0"/>
        <v>0</v>
      </c>
    </row>
    <row r="21" spans="1:12" ht="15.75">
      <c r="F21" s="114" t="s">
        <v>189</v>
      </c>
      <c r="G21" s="110">
        <v>150000</v>
      </c>
      <c r="L21" s="33">
        <f t="shared" si="0"/>
        <v>0</v>
      </c>
    </row>
    <row r="22" spans="1:12" ht="15.75">
      <c r="F22" s="114"/>
      <c r="G22" s="110"/>
      <c r="L22" s="33">
        <f t="shared" si="0"/>
        <v>0</v>
      </c>
    </row>
    <row r="23" spans="1:12" ht="15.75">
      <c r="F23" s="114"/>
      <c r="G23" s="110"/>
      <c r="L23" s="33">
        <f t="shared" ref="L23:L31" si="1">IF(A23&gt;0,"ТР",0)</f>
        <v>0</v>
      </c>
    </row>
    <row r="24" spans="1:12">
      <c r="F24" s="99"/>
      <c r="L24" s="33">
        <f t="shared" si="1"/>
        <v>0</v>
      </c>
    </row>
    <row r="25" spans="1:12">
      <c r="F25" s="99"/>
      <c r="L25" s="33">
        <f t="shared" si="1"/>
        <v>0</v>
      </c>
    </row>
    <row r="26" spans="1:12"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49" t="s">
        <v>22</v>
      </c>
      <c r="B39" s="150">
        <f>F39*D39*'Абонентский отдел'!$F$1</f>
        <v>268557.12</v>
      </c>
      <c r="C39" s="151" t="s">
        <v>67</v>
      </c>
      <c r="D39" s="152">
        <v>12</v>
      </c>
      <c r="E39" s="34"/>
      <c r="F39" s="31">
        <v>4.32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268557.12</v>
      </c>
      <c r="O39" s="38" t="str">
        <f>C39</f>
        <v>Ежемесячно</v>
      </c>
      <c r="P39">
        <f>D39</f>
        <v>12</v>
      </c>
    </row>
    <row r="40" spans="1:16" ht="31.5" customHeight="1">
      <c r="A40" s="149" t="s">
        <v>173</v>
      </c>
      <c r="B40" s="150">
        <f>F40*D40*'Абонентский отдел'!$F$1</f>
        <v>156658.32</v>
      </c>
      <c r="C40" s="151" t="s">
        <v>67</v>
      </c>
      <c r="D40" s="152">
        <v>12</v>
      </c>
      <c r="E40" s="34"/>
      <c r="F40" s="31">
        <v>2.52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156658.32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9" t="s">
        <v>219</v>
      </c>
      <c r="B41" s="150">
        <f>F41*D41*'Абонентский отдел'!$F$1</f>
        <v>87654.06</v>
      </c>
      <c r="C41" s="151" t="s">
        <v>68</v>
      </c>
      <c r="D41" s="152">
        <v>12</v>
      </c>
      <c r="E41" s="34"/>
      <c r="F41" s="31">
        <v>1.41</v>
      </c>
      <c r="J41" s="36"/>
      <c r="L41" s="37" t="str">
        <f t="shared" si="2"/>
        <v>СОД</v>
      </c>
      <c r="M41" t="str">
        <f t="shared" si="3"/>
        <v>Работы по содержанию земельного участка</v>
      </c>
      <c r="N41" s="38">
        <f t="shared" si="4"/>
        <v>87654.06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49" t="s">
        <v>23</v>
      </c>
      <c r="B42" s="150">
        <f>F42*D42*'Абонентский отдел'!$F$1</f>
        <v>71490.899999999994</v>
      </c>
      <c r="C42" s="151" t="s">
        <v>67</v>
      </c>
      <c r="D42" s="152">
        <v>12</v>
      </c>
      <c r="E42" s="34"/>
      <c r="F42" s="117">
        <v>1.1499999999999999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71490.899999999994</v>
      </c>
      <c r="O42" s="38" t="str">
        <f t="shared" si="5"/>
        <v>Ежемесячно</v>
      </c>
      <c r="P42">
        <f t="shared" si="6"/>
        <v>12</v>
      </c>
    </row>
    <row r="43" spans="1:16" ht="15.75">
      <c r="A43" s="149"/>
      <c r="B43" s="151"/>
      <c r="C43" s="151"/>
      <c r="D43" s="152"/>
      <c r="E43" s="34"/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49" t="s">
        <v>24</v>
      </c>
      <c r="B44" s="150">
        <f>F44*D44*'Абонентский отдел'!$F$1</f>
        <v>21758.099999999995</v>
      </c>
      <c r="C44" s="151" t="s">
        <v>69</v>
      </c>
      <c r="D44" s="152">
        <v>12</v>
      </c>
      <c r="E44" s="34"/>
      <c r="F44" s="117">
        <v>0.35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21758.099999999995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49" t="s">
        <v>25</v>
      </c>
      <c r="B45" s="150">
        <f>F45*D45*'Абонентский отдел'!$F$1</f>
        <v>112520.45999999999</v>
      </c>
      <c r="C45" s="151" t="s">
        <v>68</v>
      </c>
      <c r="D45" s="152">
        <v>12</v>
      </c>
      <c r="E45" s="34"/>
      <c r="F45" s="117">
        <v>1.81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112520.45999999999</v>
      </c>
      <c r="O45" s="38" t="str">
        <f t="shared" si="5"/>
        <v>В соответствии с графиком</v>
      </c>
      <c r="P45">
        <f t="shared" si="6"/>
        <v>12</v>
      </c>
    </row>
    <row r="46" spans="1:16" ht="15.75">
      <c r="A46" s="149" t="s">
        <v>177</v>
      </c>
      <c r="B46" s="150">
        <f>F46*D46*'Абонентский отдел'!$F$1</f>
        <v>239339.1</v>
      </c>
      <c r="C46" s="151" t="s">
        <v>67</v>
      </c>
      <c r="D46" s="152">
        <v>12</v>
      </c>
      <c r="F46" s="117">
        <v>3.85</v>
      </c>
      <c r="L46" s="37" t="str">
        <f t="shared" si="2"/>
        <v>СОД</v>
      </c>
      <c r="M46" t="str">
        <f t="shared" si="3"/>
        <v>Работы (услуги) по управлению многоквартирным домом</v>
      </c>
      <c r="N46" s="38">
        <f t="shared" si="4"/>
        <v>239339.1</v>
      </c>
      <c r="O46" s="38" t="str">
        <f t="shared" si="5"/>
        <v>Ежемесячно</v>
      </c>
      <c r="P46">
        <f t="shared" si="6"/>
        <v>12</v>
      </c>
    </row>
    <row r="47" spans="1:16">
      <c r="A47" s="149"/>
      <c r="B47" s="153"/>
      <c r="C47" s="154"/>
      <c r="D47" s="155"/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12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12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2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2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2:16"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65" spans="4:13" ht="18.75" customHeight="1"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mXTQfTXKkzEpedgkdeJgdfVI9/wEr+ikTUB/jdIYwVjUMcWanXgW/mtUTqQXegBSsIOgS+XOYkCOD2oDPXu3fA==" saltValue="ObJPHLx5Rj8Y6r4heSB0W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1" sqref="C31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179</v>
      </c>
      <c r="F1" s="56">
        <v>5180.5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57"/>
      <c r="F2" s="57"/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57"/>
      <c r="F3" s="57"/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297181.65000000002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1343202.8399999999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1048536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F1*4.74*12</f>
        <v>294666.83999999997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0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1420025.36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1420025.36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1420025.36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220359.12999999966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187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187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187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187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186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186"/>
      <c r="N26" s="59"/>
    </row>
    <row r="27" spans="1:15" ht="18.75" customHeight="1">
      <c r="A27" s="66" t="s">
        <v>103</v>
      </c>
      <c r="B27" s="71" t="s">
        <v>4</v>
      </c>
      <c r="C27" s="82">
        <v>191382.56</v>
      </c>
      <c r="D27" s="77" t="s">
        <v>59</v>
      </c>
      <c r="E27" s="60"/>
      <c r="F27" s="60"/>
      <c r="G27" s="60"/>
      <c r="H27" s="60"/>
      <c r="I27" s="60"/>
      <c r="J27" s="60"/>
      <c r="M27" s="186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186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186"/>
      <c r="N29" s="59"/>
    </row>
    <row r="30" spans="1:15" ht="18.75" customHeight="1">
      <c r="A30" s="66" t="s">
        <v>106</v>
      </c>
      <c r="B30" s="71" t="s">
        <v>18</v>
      </c>
      <c r="C30" s="82">
        <f>C27+E45+E53-C47-C55</f>
        <v>122199.35999999999</v>
      </c>
      <c r="D30" s="77" t="s">
        <v>65</v>
      </c>
      <c r="E30" s="60"/>
      <c r="F30" s="60"/>
      <c r="G30" s="60"/>
      <c r="H30" s="60"/>
      <c r="I30" s="60"/>
      <c r="J30" s="60"/>
      <c r="M30" s="186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186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186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186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186"/>
      <c r="N34" s="59"/>
    </row>
    <row r="35" spans="1:15" ht="18.75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>
        <v>0</v>
      </c>
      <c r="F37" s="90" t="s">
        <v>165</v>
      </c>
      <c r="G37" s="62"/>
      <c r="H37" s="62"/>
      <c r="I37" s="62"/>
      <c r="L37" s="59"/>
      <c r="M37" s="185"/>
      <c r="N37" s="59"/>
      <c r="O37" s="59"/>
    </row>
    <row r="38" spans="1:15" ht="18.75" customHeight="1">
      <c r="A38" s="66" t="s">
        <v>111</v>
      </c>
      <c r="B38" s="74" t="s">
        <v>36</v>
      </c>
      <c r="C38" s="86">
        <v>0</v>
      </c>
      <c r="D38" s="90" t="s">
        <v>163</v>
      </c>
      <c r="E38" s="64"/>
      <c r="G38" s="63"/>
      <c r="H38" s="63"/>
      <c r="L38" s="59"/>
      <c r="M38" s="185"/>
      <c r="N38" s="59"/>
      <c r="O38" s="59"/>
    </row>
    <row r="39" spans="1:15" ht="18.75" customHeight="1">
      <c r="A39" s="66" t="s">
        <v>112</v>
      </c>
      <c r="B39" s="74" t="s">
        <v>37</v>
      </c>
      <c r="C39" s="87">
        <v>0</v>
      </c>
      <c r="D39" s="90" t="s">
        <v>164</v>
      </c>
      <c r="E39" s="64"/>
      <c r="G39" s="63"/>
      <c r="H39" s="63"/>
      <c r="L39" s="59"/>
      <c r="M39" s="185"/>
      <c r="N39" s="59"/>
      <c r="O39" s="59"/>
    </row>
    <row r="40" spans="1:15" ht="18.75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185"/>
      <c r="N40" s="59"/>
      <c r="O40" s="59"/>
    </row>
    <row r="41" spans="1:15" ht="18.75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185"/>
      <c r="N41" s="59"/>
      <c r="O41" s="59"/>
    </row>
    <row r="42" spans="1:15" ht="18.75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185"/>
      <c r="N42" s="59"/>
      <c r="O42" s="59"/>
    </row>
    <row r="43" spans="1:15" ht="18.75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185"/>
      <c r="N43" s="59"/>
      <c r="O43" s="59"/>
    </row>
    <row r="44" spans="1:15" ht="30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185"/>
      <c r="N44" s="59"/>
      <c r="O44" s="59"/>
    </row>
    <row r="45" spans="1:15" ht="18.75">
      <c r="A45" s="69" t="s">
        <v>119</v>
      </c>
      <c r="B45" s="73" t="s">
        <v>53</v>
      </c>
      <c r="C45" s="92" t="str">
        <f>IF(E45&gt;0,"Предоставляется",0)</f>
        <v>Предоставляется</v>
      </c>
      <c r="D45" s="92" t="s">
        <v>54</v>
      </c>
      <c r="E45" s="91">
        <v>238434.52</v>
      </c>
      <c r="F45" s="90" t="s">
        <v>165</v>
      </c>
      <c r="G45" s="62"/>
      <c r="H45" s="62"/>
      <c r="L45" s="59"/>
      <c r="M45" s="185"/>
      <c r="N45" s="59"/>
      <c r="O45" s="59"/>
    </row>
    <row r="46" spans="1:15" ht="18.75" customHeight="1">
      <c r="A46" s="69" t="s">
        <v>120</v>
      </c>
      <c r="B46" s="74" t="s">
        <v>36</v>
      </c>
      <c r="C46" s="86">
        <f>E45/15.95</f>
        <v>14948.872727272726</v>
      </c>
      <c r="D46" s="90" t="s">
        <v>166</v>
      </c>
      <c r="E46" s="64"/>
      <c r="G46" s="63"/>
      <c r="H46" s="63"/>
      <c r="L46" s="59"/>
      <c r="M46" s="185"/>
      <c r="N46" s="59"/>
      <c r="O46" s="59"/>
    </row>
    <row r="47" spans="1:15" ht="18.75" customHeight="1">
      <c r="A47" s="69" t="s">
        <v>121</v>
      </c>
      <c r="B47" s="74" t="s">
        <v>37</v>
      </c>
      <c r="C47" s="87">
        <v>262917.37</v>
      </c>
      <c r="D47" s="90" t="s">
        <v>164</v>
      </c>
      <c r="E47" s="64"/>
      <c r="G47" s="63"/>
      <c r="H47" s="63"/>
      <c r="L47" s="59"/>
      <c r="M47" s="185"/>
      <c r="N47" s="59"/>
      <c r="O47" s="59"/>
    </row>
    <row r="48" spans="1:15" ht="18.75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185"/>
      <c r="N48" s="59"/>
      <c r="O48" s="59"/>
    </row>
    <row r="49" spans="1:15" ht="18.75" customHeight="1">
      <c r="A49" s="69" t="s">
        <v>123</v>
      </c>
      <c r="B49" s="74" t="s">
        <v>39</v>
      </c>
      <c r="C49" s="89">
        <f>E45</f>
        <v>238434.52</v>
      </c>
      <c r="D49" s="76" t="s">
        <v>58</v>
      </c>
      <c r="E49" s="64"/>
      <c r="G49" s="63"/>
      <c r="H49" s="63"/>
      <c r="L49" s="59"/>
      <c r="M49" s="185"/>
      <c r="N49" s="59"/>
      <c r="O49" s="59"/>
    </row>
    <row r="50" spans="1:15" ht="18.75" customHeight="1">
      <c r="A50" s="69" t="s">
        <v>124</v>
      </c>
      <c r="B50" s="74" t="s">
        <v>40</v>
      </c>
      <c r="C50" s="89">
        <f>E45</f>
        <v>238434.52</v>
      </c>
      <c r="D50" s="76" t="s">
        <v>58</v>
      </c>
      <c r="E50" s="64"/>
      <c r="G50" s="63"/>
      <c r="H50" s="63"/>
      <c r="L50" s="59"/>
      <c r="M50" s="185"/>
      <c r="N50" s="59"/>
      <c r="O50" s="59"/>
    </row>
    <row r="51" spans="1:15" ht="18.75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185"/>
      <c r="N51" s="59"/>
      <c r="O51" s="59"/>
    </row>
    <row r="52" spans="1:15" ht="29.25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185"/>
      <c r="N52" s="59"/>
      <c r="O52" s="59"/>
    </row>
    <row r="53" spans="1:15" ht="18.75">
      <c r="A53" s="69" t="s">
        <v>127</v>
      </c>
      <c r="B53" s="73" t="s">
        <v>55</v>
      </c>
      <c r="C53" s="92" t="str">
        <f>IF(E53&gt;0,"Предоставляется",0)</f>
        <v>Предоставляется</v>
      </c>
      <c r="D53" s="92" t="s">
        <v>54</v>
      </c>
      <c r="E53" s="91">
        <v>245715.27</v>
      </c>
      <c r="F53" s="90" t="s">
        <v>165</v>
      </c>
      <c r="G53" s="62"/>
      <c r="H53" s="62"/>
      <c r="L53" s="59"/>
      <c r="M53" s="185"/>
      <c r="N53" s="59"/>
      <c r="O53" s="59"/>
    </row>
    <row r="54" spans="1:15" ht="18.75" customHeight="1">
      <c r="A54" s="69" t="s">
        <v>128</v>
      </c>
      <c r="B54" s="71" t="s">
        <v>36</v>
      </c>
      <c r="C54" s="94">
        <f>E53/19.39</f>
        <v>12672.267663744196</v>
      </c>
      <c r="D54" s="90" t="s">
        <v>166</v>
      </c>
      <c r="E54" s="65"/>
      <c r="F54" s="85"/>
      <c r="G54" s="60"/>
      <c r="H54" s="60"/>
      <c r="L54" s="59"/>
      <c r="M54" s="185"/>
      <c r="N54" s="59"/>
      <c r="O54" s="59"/>
    </row>
    <row r="55" spans="1:15" ht="18.75" customHeight="1">
      <c r="A55" s="69" t="s">
        <v>129</v>
      </c>
      <c r="B55" s="71" t="s">
        <v>37</v>
      </c>
      <c r="C55" s="82">
        <v>290415.62</v>
      </c>
      <c r="D55" s="90" t="s">
        <v>164</v>
      </c>
      <c r="E55" s="65"/>
      <c r="G55" s="60"/>
      <c r="H55" s="60"/>
      <c r="L55" s="59"/>
      <c r="M55" s="185"/>
      <c r="N55" s="59"/>
      <c r="O55" s="59"/>
    </row>
    <row r="56" spans="1:15" ht="18.75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185"/>
      <c r="N56" s="59"/>
      <c r="O56" s="59"/>
    </row>
    <row r="57" spans="1:15" ht="18.75" customHeight="1">
      <c r="A57" s="69" t="s">
        <v>131</v>
      </c>
      <c r="B57" s="71" t="s">
        <v>39</v>
      </c>
      <c r="C57" s="89">
        <f>E53</f>
        <v>245715.27</v>
      </c>
      <c r="D57" s="76" t="s">
        <v>58</v>
      </c>
      <c r="E57" s="65"/>
      <c r="G57" s="60"/>
      <c r="H57" s="60"/>
      <c r="L57" s="59"/>
      <c r="M57" s="185"/>
      <c r="N57" s="59"/>
      <c r="O57" s="59"/>
    </row>
    <row r="58" spans="1:15" ht="18.75" customHeight="1">
      <c r="A58" s="69" t="s">
        <v>132</v>
      </c>
      <c r="B58" s="71" t="s">
        <v>40</v>
      </c>
      <c r="C58" s="89">
        <f>E53</f>
        <v>245715.27</v>
      </c>
      <c r="D58" s="76" t="s">
        <v>58</v>
      </c>
      <c r="E58" s="65"/>
      <c r="G58" s="60"/>
      <c r="H58" s="60"/>
      <c r="L58" s="59"/>
      <c r="M58" s="185"/>
      <c r="N58" s="59"/>
      <c r="O58" s="59"/>
    </row>
    <row r="59" spans="1:15" ht="18.75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185"/>
      <c r="N59" s="59"/>
      <c r="O59" s="59"/>
    </row>
    <row r="60" spans="1:15" ht="33.75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185"/>
      <c r="N60" s="59"/>
      <c r="O60" s="59"/>
    </row>
    <row r="61" spans="1:15" ht="15.75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>
        <v>0</v>
      </c>
      <c r="F61" s="90" t="s">
        <v>165</v>
      </c>
      <c r="G61" s="62"/>
      <c r="H61" s="62"/>
    </row>
    <row r="62" spans="1:15" ht="15.75" customHeight="1">
      <c r="A62" s="69" t="s">
        <v>136</v>
      </c>
      <c r="B62" s="71" t="s">
        <v>36</v>
      </c>
      <c r="C62" s="94">
        <v>0</v>
      </c>
      <c r="D62" s="90" t="s">
        <v>166</v>
      </c>
      <c r="E62" s="65"/>
      <c r="G62" s="60"/>
      <c r="H62" s="60"/>
    </row>
    <row r="63" spans="1:15" ht="15.75" customHeight="1">
      <c r="A63" s="69" t="s">
        <v>137</v>
      </c>
      <c r="B63" s="71" t="s">
        <v>37</v>
      </c>
      <c r="C63" s="82">
        <v>0</v>
      </c>
      <c r="D63" s="90" t="s">
        <v>164</v>
      </c>
      <c r="E63" s="65"/>
      <c r="G63" s="60"/>
      <c r="H63" s="60"/>
    </row>
    <row r="64" spans="1:15" ht="15.75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>
        <v>0</v>
      </c>
      <c r="F69" s="90" t="s">
        <v>165</v>
      </c>
      <c r="G69" s="62"/>
      <c r="H69" s="62"/>
    </row>
    <row r="70" spans="1:8" ht="15.75" customHeight="1">
      <c r="A70" s="69" t="s">
        <v>144</v>
      </c>
      <c r="B70" s="71" t="s">
        <v>36</v>
      </c>
      <c r="C70" s="94">
        <v>0</v>
      </c>
      <c r="D70" s="90" t="s">
        <v>166</v>
      </c>
      <c r="E70" s="65"/>
      <c r="G70" s="60"/>
      <c r="H70" s="60"/>
    </row>
    <row r="71" spans="1:8" ht="15.75" customHeight="1">
      <c r="A71" s="69" t="s">
        <v>145</v>
      </c>
      <c r="B71" s="71" t="s">
        <v>37</v>
      </c>
      <c r="C71" s="82">
        <v>0</v>
      </c>
      <c r="D71" s="90" t="s">
        <v>164</v>
      </c>
      <c r="E71" s="65"/>
      <c r="G71" s="60"/>
      <c r="H71" s="60"/>
    </row>
    <row r="72" spans="1:8" ht="15.75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>
        <v>0</v>
      </c>
      <c r="F77" s="90" t="s">
        <v>165</v>
      </c>
      <c r="G77" s="62"/>
      <c r="H77" s="62"/>
    </row>
    <row r="78" spans="1:8" ht="15.75" customHeight="1">
      <c r="A78" s="69" t="s">
        <v>152</v>
      </c>
      <c r="B78" s="71" t="s">
        <v>36</v>
      </c>
      <c r="C78" s="94">
        <v>0</v>
      </c>
      <c r="D78" s="90" t="s">
        <v>167</v>
      </c>
      <c r="E78" s="60"/>
      <c r="G78" s="60"/>
      <c r="H78" s="60"/>
    </row>
    <row r="79" spans="1:8" ht="15.75" customHeight="1">
      <c r="A79" s="69" t="s">
        <v>153</v>
      </c>
      <c r="B79" s="71" t="s">
        <v>37</v>
      </c>
      <c r="C79" s="82">
        <v>0</v>
      </c>
      <c r="D79" s="90" t="s">
        <v>164</v>
      </c>
      <c r="E79" s="60"/>
      <c r="G79" s="60"/>
      <c r="H79" s="60"/>
    </row>
    <row r="80" spans="1:8" ht="15.75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7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3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96320.16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2025-03-10T03:04:53Z</dcterms:modified>
</cp:coreProperties>
</file>