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showInkAnnotation="0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3" i="2" l="1"/>
  <c r="B46" i="2"/>
  <c r="B45" i="2"/>
  <c r="B44" i="2"/>
  <c r="B42" i="2"/>
  <c r="B41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0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0" i="1"/>
  <c r="A98" i="1"/>
  <c r="G94" i="1"/>
  <c r="F94" i="1"/>
  <c r="K94" i="1"/>
  <c r="A96" i="1" l="1"/>
  <c r="F102" i="1"/>
  <c r="A101" i="1"/>
  <c r="D94" i="1"/>
  <c r="A97" i="1"/>
  <c r="A111" i="1"/>
  <c r="A115" i="1"/>
  <c r="A110" i="1"/>
  <c r="A119" i="1"/>
  <c r="A123" i="1"/>
  <c r="A118" i="1"/>
  <c r="D110" i="1"/>
  <c r="A116" i="1"/>
  <c r="A112" i="1"/>
  <c r="F110" i="1"/>
  <c r="A113" i="1"/>
  <c r="A117" i="1"/>
  <c r="A94" i="1"/>
  <c r="A95" i="1"/>
  <c r="A105" i="1"/>
  <c r="F134" i="1"/>
  <c r="A141" i="1"/>
  <c r="A137" i="1"/>
  <c r="D118" i="1"/>
  <c r="A124" i="1"/>
  <c r="F118" i="1"/>
  <c r="A121" i="1"/>
  <c r="A125" i="1"/>
  <c r="A122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5" i="1" l="1"/>
  <c r="H181" i="1"/>
  <c r="F173" i="1"/>
  <c r="F166" i="1"/>
  <c r="H169" i="1"/>
  <c r="F177" i="1"/>
  <c r="F171" i="1"/>
  <c r="F182" i="1"/>
  <c r="H182" i="1"/>
  <c r="F167" i="1"/>
  <c r="F174" i="1"/>
  <c r="H174" i="1"/>
  <c r="H177" i="1"/>
  <c r="H171" i="1"/>
  <c r="H176" i="1"/>
  <c r="F165" i="1"/>
  <c r="F183" i="1"/>
  <c r="H186" i="1"/>
  <c r="H187" i="1"/>
  <c r="F179" i="1"/>
  <c r="H180" i="1"/>
  <c r="F180" i="1"/>
  <c r="F187" i="1"/>
  <c r="H179" i="1"/>
  <c r="F169" i="1"/>
  <c r="F181" i="1"/>
  <c r="H183" i="1"/>
  <c r="H175" i="1"/>
  <c r="H172" i="1"/>
  <c r="H167" i="1"/>
  <c r="F178" i="1"/>
  <c r="H178" i="1"/>
  <c r="H164" i="1"/>
  <c r="H168" i="1"/>
  <c r="F168" i="1"/>
  <c r="H166" i="1"/>
  <c r="H184" i="1"/>
  <c r="H173" i="1"/>
  <c r="F185" i="1"/>
  <c r="F175" i="1"/>
  <c r="F172" i="1"/>
  <c r="F170" i="1"/>
  <c r="H165" i="1"/>
  <c r="F164" i="1"/>
  <c r="H170" i="1"/>
  <c r="F176" i="1"/>
  <c r="F184" i="1"/>
  <c r="F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<sst xmlns="http://schemas.openxmlformats.org/spreadsheetml/2006/main" count="559" uniqueCount="206">
  <si>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</si>
  <si>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</si>
  <si>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</si>
  <si>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</si>
  <si>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</si>
  <si>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</si>
  <si>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</si>
  <si>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</si>
  <si>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</si>
  <si>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</si>
  <si>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</si>
  <si>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</si>
  <si>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</si>
  <si>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</si>
  <si>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</si>
  <si>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</si>
  <si>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</si>
  <si>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</si>
  <si>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</si>
  <si>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</si>
  <si>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</si>
  <si>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</si>
  <si>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</si>
  <si>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</si>
  <si>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</si>
  <si>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</si>
  <si>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</si>
  <si>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</si>
  <si>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</si>
  <si>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</si>
  <si>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</si>
  <si>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</si>
  <si>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</si>
  <si>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</si>
  <si>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</si>
  <si>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</si>
  <si>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</si>
  <si>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</si>
  <si>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</si>
  <si>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</si>
  <si>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</si>
  <si>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</si>
  <si>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</si>
  <si>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</si>
  <si>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</si>
  <si>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</si>
  <si>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</si>
  <si>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</si>
  <si>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</si>
  <si>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</si>
  <si>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</si>
  <si>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</si>
  <si>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</si>
  <si>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</si>
  <si>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</si>
  <si>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</si>
  <si>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</si>
  <si>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</si>
  <si>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</si>
  <si>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</si>
  <si>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</si>
  <si>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</si>
  <si>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</si>
  <si>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</si>
  <si>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</si>
  <si>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</si>
  <si>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</si>
  <si>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</si>
  <si>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</si>
  <si>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</si>
  <si>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</si>
  <si>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</si>
  <si>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</si>
  <si>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</si>
  <si>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</si>
  <si>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</si>
  <si>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</si>
  <si>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</si>
  <si>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</si>
  <si>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</si>
  <si>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</si>
  <si>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</si>
  <si>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</si>
  <si>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</si>
  <si>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</si>
  <si>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</si>
  <si>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</si>
  <si>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</si>
  <si>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</si>
  <si>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</si>
  <si>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</si>
  <si>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</si>
  <si>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</si>
  <si>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</si>
  <si>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</si>
  <si>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</si>
  <si>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</si>
  <si>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</si>
  <si>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</si>
  <si>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</si>
  <si>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</si>
  <si>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</si>
  <si>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</si>
  <si>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</si>
  <si>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</si>
  <si>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</si>
  <si>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</si>
  <si>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</si>
  <si>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</si>
  <si>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</si>
  <si>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</si>
  <si>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</si>
  <si>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</si>
  <si>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</si>
  <si>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</si>
  <si>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</si>
  <si>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</si>
  <si>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</si>
  <si>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</si>
  <si>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</si>
  <si>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</si>
  <si>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</si>
  <si>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</si>
  <si>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</si>
  <si>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</si>
  <si>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</si>
  <si>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</si>
  <si>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</si>
  <si>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</si>
  <si>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</si>
  <si>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</si>
  <si>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</si>
  <si>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</si>
  <si>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</si>
  <si>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</si>
  <si>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</si>
  <si>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</si>
  <si>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</si>
  <si>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</si>
  <si>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</si>
  <si>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</si>
  <si>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</si>
  <si>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</si>
  <si>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</si>
  <si>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</si>
  <si>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</si>
  <si>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</si>
  <si>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</si>
  <si>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</si>
  <si>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</si>
  <si>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</si>
  <si>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</si>
  <si>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</si>
  <si>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</si>
  <si>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</si>
  <si>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</si>
  <si>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</si>
  <si>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</si>
  <si>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</si>
  <si>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</si>
  <si>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</si>
  <si>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</si>
  <si>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</si>
  <si>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</si>
  <si>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</si>
  <si>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</si>
  <si>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</si>
  <si>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</si>
  <si>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</si>
  <si>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</si>
  <si>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</si>
  <si>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</si>
  <si>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</si>
  <si>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</si>
  <si>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31/1</t>
  </si>
  <si>
    <t>площадь дома</t>
  </si>
  <si>
    <t>Отчет об исполнении договора управления многоквартирного дома 
Мамина-Сибиряка, 31/1 в части текущего ремонта</t>
  </si>
  <si>
    <t>разово</t>
  </si>
  <si>
    <t>лифты</t>
  </si>
  <si>
    <t>охрана</t>
  </si>
  <si>
    <t>с 01.06.2022 в содержании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</si>
  <si>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</si>
  <si>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</si>
  <si>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Промышленная очистка кровли от снега и наледи.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</si>
  <si>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</si>
  <si>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</si>
  <si>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</si>
  <si>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</si>
  <si>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</si>
  <si>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15.02.2024, Решение</t>
  </si>
  <si>
    <t>Замена участка трубопровода в ИТП (сварочные работы).</t>
  </si>
  <si>
    <t>Ремонт уличного освещения.</t>
  </si>
  <si>
    <t>АВР 2/24 от 05.03.2024, Решение</t>
  </si>
  <si>
    <t>АВР 3/24 от 24.05.2024, Решение, счет №9 от 09.05.2024</t>
  </si>
  <si>
    <t>Ремонт фасада цокольного этажа (установка металлического листа).</t>
  </si>
  <si>
    <t>АВР 4/24 от 08.07.2024, Решение</t>
  </si>
  <si>
    <t>Замена лампы уличного освещения.</t>
  </si>
  <si>
    <t>АВР 5/24 от 23.10.2024, Решение</t>
  </si>
  <si>
    <t>Приобретение и замена доводчика тамбурной двери.</t>
  </si>
  <si>
    <t>АВР 6/24 от 18.12.2024</t>
  </si>
  <si>
    <t>АВР 7/24 от 20.08.2024, Решение</t>
  </si>
  <si>
    <t xml:space="preserve">Работы по содержанию земельного участка </t>
  </si>
  <si>
    <t>Техническое обслуживание охранной сигнализации</t>
  </si>
  <si>
    <t xml:space="preserve">  -  ремонт асфальтового покрытия</t>
  </si>
  <si>
    <t xml:space="preserve">  -  установка газонного ограждения</t>
  </si>
  <si>
    <t xml:space="preserve">  -  ремонт водосточных труб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</si>
</sst>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</cellStyleXfs>
  <cellXfs count="201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34" fillId="3" borderId="0" xfId="11" applyNumberFormat="1" applyFont="1" applyFill="1" applyBorder="1" applyAlignment="1">
      <alignment horizontal="left" vertical="center" wrapText="1"/>
    </xf>
    <xf numFmtId="0" fontId="19" fillId="0" borderId="0" xfId="4" applyFill="1" applyBorder="1" applyAlignment="1">
      <alignment horizontal="center"/>
    </xf>
    <xf numFmtId="4" fontId="24" fillId="0" borderId="0" xfId="0" applyNumberFormat="1" applyFont="1" applyBorder="1"/>
    <xf numFmtId="0" fontId="0" fillId="0" borderId="0" xfId="0" applyFill="1" applyBorder="1"/>
    <xf numFmtId="0" fontId="13" fillId="0" borderId="0" xfId="37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5" fillId="0" borderId="0" xfId="10" applyFont="1" applyFill="1" applyBorder="1" applyAlignment="1"/>
    <xf numFmtId="0" fontId="5" fillId="0" borderId="0" xfId="10" applyFont="1" applyFill="1" applyBorder="1" applyAlignment="1">
      <alignment horizontal="center"/>
    </xf>
    <xf numFmtId="1" fontId="17" fillId="0" borderId="0" xfId="10" applyNumberFormat="1" applyFill="1" applyBorder="1" applyAlignment="1">
      <alignment horizontal="center"/>
    </xf>
    <xf numFmtId="4" fontId="17" fillId="0" borderId="0" xfId="10" applyNumberFormat="1" applyFill="1" applyBorder="1" applyAlignment="1"/>
    <xf numFmtId="0" fontId="35" fillId="3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vertical="center" wrapText="1"/>
    </xf>
    <xf numFmtId="0" fontId="14" fillId="0" borderId="1" xfId="33" applyFont="1" applyFill="1" applyBorder="1" applyAlignment="1"/>
    <xf numFmtId="0" fontId="14" fillId="0" borderId="1" xfId="33" applyFont="1" applyFill="1" applyBorder="1" applyAlignment="1">
      <alignment horizontal="center"/>
    </xf>
    <xf numFmtId="0" fontId="14" fillId="0" borderId="1" xfId="33" applyNumberFormat="1" applyFill="1" applyBorder="1" applyAlignment="1">
      <alignment horizontal="center"/>
    </xf>
    <xf numFmtId="4" fontId="14" fillId="0" borderId="1" xfId="33" applyNumberFormat="1" applyFill="1" applyBorder="1" applyAlignment="1"/>
    <xf numFmtId="0" fontId="11" fillId="0" borderId="1" xfId="33" applyFont="1" applyFill="1" applyBorder="1"/>
    <xf numFmtId="0" fontId="15" fillId="0" borderId="1" xfId="5" applyFont="1" applyFill="1" applyBorder="1" applyAlignment="1"/>
    <xf numFmtId="0" fontId="15" fillId="0" borderId="1" xfId="5" applyFont="1" applyFill="1" applyBorder="1" applyAlignment="1">
      <alignment horizontal="center"/>
    </xf>
    <xf numFmtId="0" fontId="32" fillId="0" borderId="1" xfId="5" applyNumberFormat="1" applyFont="1" applyFill="1" applyBorder="1" applyAlignment="1">
      <alignment horizontal="center" vertical="center"/>
    </xf>
    <xf numFmtId="4" fontId="18" fillId="0" borderId="1" xfId="5" applyNumberFormat="1" applyFill="1" applyBorder="1" applyAlignment="1">
      <alignment vertical="center"/>
    </xf>
    <xf numFmtId="0" fontId="9" fillId="0" borderId="1" xfId="5" applyFont="1" applyFill="1" applyBorder="1"/>
    <xf numFmtId="0" fontId="6" fillId="0" borderId="1" xfId="4" applyFont="1" applyFill="1" applyBorder="1" applyAlignment="1"/>
    <xf numFmtId="0" fontId="8" fillId="0" borderId="1" xfId="4" applyFont="1" applyFill="1" applyBorder="1" applyAlignment="1">
      <alignment horizontal="center"/>
    </xf>
    <xf numFmtId="0" fontId="19" fillId="0" borderId="1" xfId="4" applyFill="1" applyBorder="1" applyAlignment="1">
      <alignment horizontal="center"/>
    </xf>
    <xf numFmtId="4" fontId="19" fillId="0" borderId="1" xfId="4" applyNumberFormat="1" applyFill="1" applyBorder="1" applyAlignment="1"/>
    <xf numFmtId="0" fontId="7" fillId="0" borderId="1" xfId="5" applyFont="1" applyFill="1" applyBorder="1"/>
    <xf numFmtId="0" fontId="10" fillId="0" borderId="1" xfId="37" applyFont="1" applyFill="1" applyBorder="1" applyAlignment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ill="1" applyBorder="1"/>
    <xf numFmtId="0" fontId="4" fillId="0" borderId="1" xfId="4" applyFont="1" applyFill="1" applyBorder="1" applyAlignment="1"/>
    <xf numFmtId="0" fontId="4" fillId="0" borderId="1" xfId="4" applyFont="1" applyFill="1" applyBorder="1" applyAlignment="1">
      <alignment horizontal="center"/>
    </xf>
    <xf numFmtId="0" fontId="32" fillId="0" borderId="1" xfId="4" applyFont="1" applyFill="1" applyBorder="1" applyAlignment="1">
      <alignment horizontal="center"/>
    </xf>
    <xf numFmtId="4" fontId="32" fillId="0" borderId="1" xfId="4" applyNumberFormat="1" applyFont="1" applyFill="1" applyBorder="1" applyAlignment="1"/>
    <xf numFmtId="0" fontId="3" fillId="0" borderId="1" xfId="5" applyFont="1" applyFill="1" applyBorder="1"/>
    <xf numFmtId="0" fontId="2" fillId="0" borderId="1" xfId="2" applyFont="1" applyFill="1" applyBorder="1" applyAlignment="1"/>
    <xf numFmtId="0" fontId="2" fillId="0" borderId="1" xfId="4" applyFont="1" applyFill="1" applyBorder="1" applyAlignment="1">
      <alignment horizontal="center"/>
    </xf>
    <xf numFmtId="0" fontId="10" fillId="0" borderId="1" xfId="2" applyFont="1" applyFill="1" applyBorder="1" applyAlignment="1"/>
    <xf numFmtId="0" fontId="10" fillId="0" borderId="1" xfId="4" applyFont="1" applyFill="1" applyBorder="1" applyAlignment="1">
      <alignment horizontal="center"/>
    </xf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center"/>
    </xf>
    <xf numFmtId="0" fontId="36" fillId="0" borderId="1" xfId="0" applyFont="1" applyFill="1" applyBorder="1" applyAlignment="1">
      <alignment horizontal="left" vertical="center"/>
    </xf>
    <xf numFmtId="4" fontId="24" fillId="0" borderId="0" xfId="0" applyNumberFormat="1" applyFont="1" applyFill="1" applyBorder="1"/>
    <xf numFmtId="0" fontId="1" fillId="0" borderId="1" xfId="10" applyFont="1" applyFill="1" applyBorder="1" applyAlignment="1"/>
    <xf numFmtId="0" fontId="5" fillId="0" borderId="1" xfId="10" applyFont="1" applyFill="1" applyBorder="1" applyAlignment="1">
      <alignment horizontal="center"/>
    </xf>
    <xf numFmtId="1" fontId="17" fillId="0" borderId="1" xfId="10" applyNumberFormat="1" applyFill="1" applyBorder="1" applyAlignment="1">
      <alignment horizontal="center"/>
    </xf>
    <xf numFmtId="4" fontId="17" fillId="0" borderId="1" xfId="10" applyNumberFormat="1" applyFill="1" applyBorder="1" applyAlignment="1"/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38">
    <cellStyle name="Обычный" xfId="0" builtinId="0"/>
    <cellStyle name="Обычный 2" xfId="1"/>
    <cellStyle name="Обычный 2 2" xfId="3"/>
    <cellStyle name="Обычный 2 3" xfId="6"/>
    <cellStyle name="Обычный 2 3 2" xfId="24"/>
    <cellStyle name="Обычный 2 3 3" xfId="16"/>
    <cellStyle name="Обычный 2 4" xfId="20"/>
    <cellStyle name="Обычный 2 5" xfId="11"/>
    <cellStyle name="Обычный 2 5 2" xfId="35"/>
    <cellStyle name="Обычный 2 5 3" xfId="29"/>
    <cellStyle name="Обычный 2 6" xfId="30"/>
    <cellStyle name="Обычный 2 7" xfId="12"/>
    <cellStyle name="Обычный 3" xfId="2"/>
    <cellStyle name="Обычный 3 2" xfId="7"/>
    <cellStyle name="Обычный 3 2 2" xfId="25"/>
    <cellStyle name="Обычный 3 2 3" xfId="17"/>
    <cellStyle name="Обычный 3 3" xfId="21"/>
    <cellStyle name="Обычный 3 4" xfId="31"/>
    <cellStyle name="Обычный 3 5" xfId="13"/>
    <cellStyle name="Обычный 4" xfId="4"/>
    <cellStyle name="Обычный 4 2" xfId="8"/>
    <cellStyle name="Обычный 4 2 2" xfId="26"/>
    <cellStyle name="Обычный 4 2 3" xfId="18"/>
    <cellStyle name="Обычный 4 3" xfId="22"/>
    <cellStyle name="Обычный 4 4" xfId="32"/>
    <cellStyle name="Обычный 4 5" xfId="14"/>
    <cellStyle name="Обычный 5" xfId="5"/>
    <cellStyle name="Обычный 5 10" xfId="37"/>
    <cellStyle name="Обычный 5 2" xfId="10"/>
    <cellStyle name="Обычный 5 2 2" xfId="28"/>
    <cellStyle name="Обычный 5 2 3" xfId="34"/>
    <cellStyle name="Обычный 5 2 4" xfId="19"/>
    <cellStyle name="Обычный 5 3" xfId="9"/>
    <cellStyle name="Обычный 5 3 2" xfId="27"/>
    <cellStyle name="Обычный 5 4" xfId="23"/>
    <cellStyle name="Обычный 5 5" xfId="33"/>
    <cellStyle name="Обычный 5 6" xfId="15"/>
    <cellStyle name="Обычный 6 3" xfId="3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187" t="s">
        <v>174</v>
      </c>
      <c r="B2" s="187"/>
      <c r="C2" s="187"/>
      <c r="D2" s="187"/>
      <c r="E2" s="187"/>
      <c r="F2" s="187"/>
      <c r="G2" s="187"/>
      <c r="H2" s="187"/>
      <c r="I2" s="187"/>
      <c r="J2" s="187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110886.57</v>
      </c>
      <c r="K8" s="107"/>
      <c r="L8" s="188"/>
      <c r="M8" s="107"/>
      <c r="N8" s="107"/>
      <c r="O8" s="68" t="s">
        <v>80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7"/>
      <c r="L9" s="188"/>
      <c r="M9" s="107"/>
      <c r="N9" s="107"/>
      <c r="O9" s="68" t="s">
        <v>81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0</v>
      </c>
      <c r="K10" s="107"/>
      <c r="L10" s="188"/>
      <c r="M10" s="107"/>
      <c r="N10" s="107"/>
      <c r="O10" s="68" t="s">
        <v>82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972104.26</v>
      </c>
      <c r="K11" s="107"/>
      <c r="L11" s="188"/>
      <c r="M11" s="107"/>
      <c r="N11" s="107"/>
      <c r="O11" s="68" t="s">
        <v>83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603371.78</v>
      </c>
      <c r="K12" s="107"/>
      <c r="L12" s="188"/>
      <c r="M12" s="107"/>
      <c r="N12" s="107"/>
      <c r="O12" s="68" t="s">
        <v>84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179928</v>
      </c>
      <c r="K13" s="107"/>
      <c r="L13" s="188"/>
      <c r="M13" s="107"/>
      <c r="N13" s="107"/>
      <c r="O13" s="68" t="s">
        <v>85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188804.48000000001</v>
      </c>
      <c r="K14" s="107"/>
      <c r="L14" s="188"/>
      <c r="M14" s="107"/>
      <c r="N14" s="107"/>
      <c r="O14" s="68" t="s">
        <v>86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943388.97</v>
      </c>
      <c r="K15" s="107"/>
      <c r="L15" s="188"/>
      <c r="M15" s="107"/>
      <c r="N15" s="107"/>
      <c r="O15" s="68" t="s">
        <v>87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943388.97</v>
      </c>
      <c r="K16" s="107"/>
      <c r="L16" s="188"/>
      <c r="M16" s="107"/>
      <c r="N16" s="107"/>
      <c r="O16" s="68" t="s">
        <v>88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7"/>
      <c r="L17" s="188"/>
      <c r="M17" s="107"/>
      <c r="N17" s="107"/>
      <c r="O17" s="68" t="s">
        <v>89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7"/>
      <c r="L18" s="188"/>
      <c r="M18" s="107"/>
      <c r="N18" s="107"/>
      <c r="O18" s="68" t="s">
        <v>90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7"/>
      <c r="L19" s="188"/>
      <c r="M19" s="107"/>
      <c r="N19" s="107"/>
      <c r="O19" s="68" t="s">
        <v>91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7"/>
      <c r="L20" s="188"/>
      <c r="M20" s="107"/>
      <c r="N20" s="107"/>
      <c r="O20" s="68" t="s">
        <v>92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943388.97</v>
      </c>
      <c r="K21" s="107"/>
      <c r="L21" s="188"/>
      <c r="M21" s="107"/>
      <c r="N21" s="107"/>
      <c r="O21" s="68" t="s">
        <v>93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82171.280000000028</v>
      </c>
      <c r="K22" s="107"/>
      <c r="L22" s="188"/>
      <c r="M22" s="107"/>
      <c r="N22" s="107"/>
      <c r="O22" s="68" t="s">
        <v>94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7"/>
      <c r="L23" s="188"/>
      <c r="M23" s="107"/>
      <c r="N23" s="107"/>
      <c r="O23" s="68" t="s">
        <v>95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0</v>
      </c>
      <c r="K24" s="107"/>
      <c r="L24" s="188"/>
      <c r="M24" s="107"/>
      <c r="N24" s="107"/>
      <c r="O24" s="68" t="s">
        <v>96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56</v>
      </c>
      <c r="I27" s="180" t="s">
        <v>21</v>
      </c>
      <c r="J27" s="180"/>
      <c r="K27" s="107"/>
      <c r="L27" s="189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229947.984</v>
      </c>
      <c r="G28" s="177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7"/>
      <c r="L28" s="189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172">
        <f>ПТО!A40</f>
        <v>0</v>
      </c>
      <c r="B29" s="172"/>
      <c r="C29" s="172"/>
      <c r="D29" s="172"/>
      <c r="E29" s="172"/>
      <c r="F29" s="177" t="e">
        <f>VLOOKUP(A29,ПТО!$A$39:$D$53,2,FALSE)</f>
        <v>#N/A</v>
      </c>
      <c r="G29" s="177"/>
      <c r="H29" s="40" t="e">
        <f>VLOOKUP(A29,ПТО!$A$39:$D$53,3,FALSE)</f>
        <v>#N/A</v>
      </c>
      <c r="I29" s="173" t="e">
        <f>VLOOKUP(A29,ПТО!$A$39:$D$53,4,FALSE)</f>
        <v>#N/A</v>
      </c>
      <c r="J29" s="173"/>
      <c r="K29" s="107"/>
      <c r="L29" s="189"/>
      <c r="M29" s="107"/>
      <c r="N29" s="107"/>
      <c r="O29" s="23">
        <f t="shared" si="1"/>
        <v>0</v>
      </c>
      <c r="R29" s="1" t="s">
        <v>70</v>
      </c>
    </row>
    <row r="30" spans="1:23" ht="45.75" customHeight="1" outlineLevel="1">
      <c r="A30" s="172" t="str">
        <f>ПТО!A41</f>
        <v xml:space="preserve">Работы по содержанию земельного участка </v>
      </c>
      <c r="B30" s="172"/>
      <c r="C30" s="172"/>
      <c r="D30" s="172"/>
      <c r="E30" s="172"/>
      <c r="F30" s="177">
        <f>VLOOKUP(A30,ПТО!$A$39:$D$53,2,FALSE)</f>
        <v>69572.160000000003</v>
      </c>
      <c r="G30" s="177"/>
      <c r="H30" s="40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7"/>
      <c r="L30" s="189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47980.799999999996</v>
      </c>
      <c r="G31" s="177"/>
      <c r="H31" s="40" t="str">
        <f>VLOOKUP(A31,ПТО!$A$39:$D$53,3,FALSE)</f>
        <v>Ежемесячно</v>
      </c>
      <c r="I31" s="173">
        <f>VLOOKUP(A31,ПТО!$A$39:$D$53,4,FALSE)</f>
        <v>12</v>
      </c>
      <c r="J31" s="173"/>
      <c r="K31" s="107"/>
      <c r="L31" s="189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72" t="str">
        <f>ПТО!A43</f>
        <v>Техническое обслуживание охранной сигнализации</v>
      </c>
      <c r="B32" s="172"/>
      <c r="C32" s="172"/>
      <c r="D32" s="172"/>
      <c r="E32" s="172"/>
      <c r="F32" s="177">
        <f>VLOOKUP(A32,ПТО!$A$39:$D$53,2,FALSE)</f>
        <v>6117.5520000000006</v>
      </c>
      <c r="G32" s="177"/>
      <c r="H32" s="40" t="str">
        <f>VLOOKUP(A32,ПТО!$A$39:$D$53,3,FALSE)</f>
        <v>Ежемесячно</v>
      </c>
      <c r="I32" s="173">
        <f>VLOOKUP(A32,ПТО!$A$39:$D$53,4,FALSE)</f>
        <v>12</v>
      </c>
      <c r="J32" s="173"/>
      <c r="K32" s="107"/>
      <c r="L32" s="189"/>
      <c r="M32" s="107"/>
      <c r="N32" s="107"/>
      <c r="O32" s="23" t="str">
        <f t="shared" si="1"/>
        <v>Техническое обслуживание охранной сигнализации</v>
      </c>
      <c r="R32" s="1" t="s">
        <v>70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16793.280000000002</v>
      </c>
      <c r="G33" s="177"/>
      <c r="H33" s="40" t="str">
        <f>VLOOKUP(A33,ПТО!$A$39:$D$53,3,FALSE)</f>
        <v>Круглосуточно</v>
      </c>
      <c r="I33" s="173">
        <f>VLOOKUP(A33,ПТО!$A$39:$D$53,4,FALSE)</f>
        <v>12</v>
      </c>
      <c r="J33" s="173"/>
      <c r="K33" s="107"/>
      <c r="L33" s="189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103158.72000000002</v>
      </c>
      <c r="G34" s="177"/>
      <c r="H34" s="40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7"/>
      <c r="L34" s="189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2" t="str">
        <f>ПТО!A46</f>
        <v>Работы по содержанию лифта (лифтов)</v>
      </c>
      <c r="B35" s="172"/>
      <c r="C35" s="172"/>
      <c r="D35" s="172"/>
      <c r="E35" s="172"/>
      <c r="F35" s="177">
        <f>VLOOKUP(A35,ПТО!$A$39:$D$53,2,FALSE)</f>
        <v>75929.615999999995</v>
      </c>
      <c r="G35" s="177"/>
      <c r="H35" s="40" t="str">
        <f>VLOOKUP(A35,ПТО!$A$39:$D$53,3,FALSE)</f>
        <v>Ежемесячно</v>
      </c>
      <c r="I35" s="173">
        <f>VLOOKUP(A35,ПТО!$A$39:$D$53,4,FALSE)</f>
        <v>12</v>
      </c>
      <c r="J35" s="173"/>
      <c r="K35" s="107"/>
      <c r="L35" s="189"/>
      <c r="M35" s="113"/>
      <c r="N35" s="107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7" t="e">
        <f>VLOOKUP(A36,ПТО!$A$39:$D$53,2,FALSE)</f>
        <v>#N/A</v>
      </c>
      <c r="G36" s="177"/>
      <c r="H36" s="40" t="e">
        <f>VLOOKUP(A36,ПТО!$A$39:$D$53,3,FALSE)</f>
        <v>#N/A</v>
      </c>
      <c r="I36" s="173" t="e">
        <f>VLOOKUP(A36,ПТО!$A$39:$D$53,4,FALSE)</f>
        <v>#N/A</v>
      </c>
      <c r="J36" s="173"/>
      <c r="K36" s="107"/>
      <c r="L36" s="189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7" t="e">
        <f>VLOOKUP(A37,ПТО!$A$39:$D$53,2,FALSE)</f>
        <v>#N/A</v>
      </c>
      <c r="G37" s="177"/>
      <c r="H37" s="40" t="e">
        <f>VLOOKUP(A37,ПТО!$A$39:$D$53,3,FALSE)</f>
        <v>#N/A</v>
      </c>
      <c r="I37" s="173" t="e">
        <f>VLOOKUP(A37,ПТО!$A$39:$D$53,4,FALSE)</f>
        <v>#N/A</v>
      </c>
      <c r="J37" s="173"/>
      <c r="K37" s="107"/>
      <c r="L37" s="189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0" t="e">
        <f>VLOOKUP(A38,ПТО!$A$39:$D$53,3,FALSE)</f>
        <v>#N/A</v>
      </c>
      <c r="I38" s="173" t="e">
        <f>VLOOKUP(A38,ПТО!$A$39:$D$53,4,FALSE)</f>
        <v>#N/A</v>
      </c>
      <c r="J38" s="173"/>
      <c r="K38" s="107"/>
      <c r="L38" s="189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0" t="e">
        <f>VLOOKUP(A39,ПТО!$A$39:$D$53,3,FALSE)</f>
        <v>#N/A</v>
      </c>
      <c r="I39" s="173" t="e">
        <f>VLOOKUP(A39,ПТО!$A$39:$D$53,4,FALSE)</f>
        <v>#N/A</v>
      </c>
      <c r="J39" s="173"/>
      <c r="K39" s="107"/>
      <c r="L39" s="189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0" t="e">
        <f>VLOOKUP(A40,ПТО!$A$39:$D$53,3,FALSE)</f>
        <v>#N/A</v>
      </c>
      <c r="I40" s="173" t="e">
        <f>VLOOKUP(A40,ПТО!$A$39:$D$53,4,FALSE)</f>
        <v>#N/A</v>
      </c>
      <c r="J40" s="173"/>
      <c r="K40" s="107"/>
      <c r="L40" s="189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0" t="e">
        <f>VLOOKUP(A41,ПТО!$A$39:$D$53,3,FALSE)</f>
        <v>#N/A</v>
      </c>
      <c r="I41" s="173" t="e">
        <f>VLOOKUP(A41,ПТО!$A$39:$D$53,4,FALSE)</f>
        <v>#N/A</v>
      </c>
      <c r="J41" s="173"/>
      <c r="K41" s="107"/>
      <c r="L41" s="189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0" t="e">
        <f>VLOOKUP(A42,ПТО!$A$39:$D$53,3,FALSE)</f>
        <v>#N/A</v>
      </c>
      <c r="I42" s="173" t="e">
        <f>VLOOKUP(A42,ПТО!$A$39:$D$53,4,FALSE)</f>
        <v>#N/A</v>
      </c>
      <c r="J42" s="173"/>
      <c r="K42" s="107"/>
      <c r="L42" s="189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172" t="str">
        <f>ПТО!A2</f>
        <v>Промышленная очистка кровли от снега и наледи.</v>
      </c>
      <c r="B43" s="172"/>
      <c r="C43" s="172"/>
      <c r="D43" s="172"/>
      <c r="E43" s="172"/>
      <c r="F43" s="177">
        <f>VLOOKUP(A43,ПТО!$A$2:$D$31,4,FALSE)</f>
        <v>17058.599999999999</v>
      </c>
      <c r="G43" s="177"/>
      <c r="H43" s="19" t="str">
        <f>VLOOKUP(A43,ПТО!$A$2:$D$31,2,FALSE)</f>
        <v>разово</v>
      </c>
      <c r="I43" s="173">
        <f>VLOOKUP(A43,ПТО!$A$2:$D$31,3,FALSE)</f>
        <v>1</v>
      </c>
      <c r="J43" s="173"/>
      <c r="K43" s="107"/>
      <c r="L43" s="189"/>
      <c r="M43" s="113"/>
      <c r="N43" s="107"/>
      <c r="O43" s="23" t="str">
        <f t="shared" si="1"/>
        <v>Промышленная очистка кровли от снега и наледи.</v>
      </c>
      <c r="R43" s="22" t="s">
        <v>71</v>
      </c>
    </row>
    <row r="44" spans="1:18" ht="51" customHeight="1" outlineLevel="1">
      <c r="A44" s="172" t="str">
        <f>ПТО!A3</f>
        <v>Механизированная уборка и вывоз снега с придомовой территории.</v>
      </c>
      <c r="B44" s="172"/>
      <c r="C44" s="172"/>
      <c r="D44" s="172"/>
      <c r="E44" s="172"/>
      <c r="F44" s="177">
        <f>VLOOKUP(A44,ПТО!$A$2:$D$31,4,FALSE)</f>
        <v>13500</v>
      </c>
      <c r="G44" s="177"/>
      <c r="H44" s="25" t="str">
        <f>VLOOKUP(A44,ПТО!$A$2:$D$31,2,FALSE)</f>
        <v>разово</v>
      </c>
      <c r="I44" s="173">
        <f>VLOOKUP(A44,ПТО!$A$2:$D$31,3,FALSE)</f>
        <v>1</v>
      </c>
      <c r="J44" s="173"/>
      <c r="K44" s="107"/>
      <c r="L44" s="189"/>
      <c r="M44" s="113"/>
      <c r="N44" s="107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72" t="str">
        <f>ПТО!A4</f>
        <v>Ремонт фасада цокольного этажа (установка металлического листа).</v>
      </c>
      <c r="B45" s="172"/>
      <c r="C45" s="172"/>
      <c r="D45" s="172"/>
      <c r="E45" s="172"/>
      <c r="F45" s="177">
        <f>VLOOKUP(A45,ПТО!$A$2:$D$31,4,FALSE)</f>
        <v>82651.03</v>
      </c>
      <c r="G45" s="177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7"/>
      <c r="L45" s="189"/>
      <c r="M45" s="113"/>
      <c r="N45" s="107"/>
      <c r="O45" s="23" t="str">
        <f t="shared" si="1"/>
        <v>Ремонт фасада цокольного этажа (установка металлического листа).</v>
      </c>
      <c r="R45" s="22" t="s">
        <v>71</v>
      </c>
    </row>
    <row r="46" spans="1:18" ht="51" customHeight="1" outlineLevel="1">
      <c r="A46" s="172" t="str">
        <f>ПТО!A5</f>
        <v>Ремонт уличного освещения.</v>
      </c>
      <c r="B46" s="172"/>
      <c r="C46" s="172"/>
      <c r="D46" s="172"/>
      <c r="E46" s="172"/>
      <c r="F46" s="177">
        <f>VLOOKUP(A46,ПТО!$A$2:$D$31,4,FALSE)</f>
        <v>14237.59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7"/>
      <c r="L46" s="189"/>
      <c r="M46" s="113"/>
      <c r="N46" s="107"/>
      <c r="O46" s="23" t="str">
        <f t="shared" si="1"/>
        <v>Ремонт уличного освещения.</v>
      </c>
      <c r="R46" s="22" t="s">
        <v>71</v>
      </c>
    </row>
    <row r="47" spans="1:18" ht="51" customHeight="1" outlineLevel="1">
      <c r="A47" s="172" t="str">
        <f>ПТО!A6</f>
        <v>Замена лампы уличного освещения.</v>
      </c>
      <c r="B47" s="172"/>
      <c r="C47" s="172"/>
      <c r="D47" s="172"/>
      <c r="E47" s="172"/>
      <c r="F47" s="177">
        <f>VLOOKUP(A47,ПТО!$A$2:$D$31,4,FALSE)</f>
        <v>2700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7"/>
      <c r="L47" s="189"/>
      <c r="M47" s="113"/>
      <c r="N47" s="107"/>
      <c r="O47" s="23" t="str">
        <f t="shared" si="1"/>
        <v>Замена лампы уличного освещения.</v>
      </c>
      <c r="R47" s="22" t="s">
        <v>71</v>
      </c>
    </row>
    <row r="48" spans="1:18" ht="51" customHeight="1" outlineLevel="1">
      <c r="A48" s="172" t="str">
        <f>ПТО!A7</f>
        <v>Приобретение и замена доводчика тамбурной двери.</v>
      </c>
      <c r="B48" s="172"/>
      <c r="C48" s="172"/>
      <c r="D48" s="172"/>
      <c r="E48" s="172"/>
      <c r="F48" s="177">
        <f>VLOOKUP(A48,ПТО!$A$2:$D$31,4,FALSE)</f>
        <v>1950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7"/>
      <c r="L48" s="189"/>
      <c r="M48" s="113"/>
      <c r="N48" s="107"/>
      <c r="O48" s="23" t="str">
        <f t="shared" si="1"/>
        <v>Приобретение и замена доводчика тамбурной двери.</v>
      </c>
      <c r="R48" s="22" t="s">
        <v>71</v>
      </c>
    </row>
    <row r="49" spans="1:18" ht="51" customHeight="1" outlineLevel="1">
      <c r="A49" s="172" t="str">
        <f>ПТО!A8</f>
        <v>Замена участка трубопровода в ИТП (сварочные работы).</v>
      </c>
      <c r="B49" s="172"/>
      <c r="C49" s="172"/>
      <c r="D49" s="172"/>
      <c r="E49" s="172"/>
      <c r="F49" s="177">
        <f>VLOOKUP(A49,ПТО!$A$2:$D$31,4,FALSE)</f>
        <v>3200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7"/>
      <c r="L49" s="189"/>
      <c r="M49" s="113"/>
      <c r="N49" s="107"/>
      <c r="O49" s="23" t="str">
        <f t="shared" si="1"/>
        <v>Замена участка трубопровода в ИТП (сварочные работы).</v>
      </c>
      <c r="R49" s="22" t="s">
        <v>71</v>
      </c>
    </row>
    <row r="50" spans="1:18" ht="51" hidden="1" customHeight="1" outlineLevel="1">
      <c r="A50" s="172">
        <f>ПТО!A9</f>
        <v>0</v>
      </c>
      <c r="B50" s="172"/>
      <c r="C50" s="172"/>
      <c r="D50" s="172"/>
      <c r="E50" s="172"/>
      <c r="F50" s="177" t="e">
        <f>VLOOKUP(A50,ПТО!$A$2:$D$31,4,FALSE)</f>
        <v>#N/A</v>
      </c>
      <c r="G50" s="177"/>
      <c r="H50" s="25" t="e">
        <f>VLOOKUP(A50,ПТО!$A$2:$D$31,2,FALSE)</f>
        <v>#N/A</v>
      </c>
      <c r="I50" s="173" t="e">
        <f>VLOOKUP(A50,ПТО!$A$2:$D$31,3,FALSE)</f>
        <v>#N/A</v>
      </c>
      <c r="J50" s="173"/>
      <c r="K50" s="107"/>
      <c r="L50" s="189"/>
      <c r="M50" s="113"/>
      <c r="N50" s="107"/>
      <c r="O50" s="23">
        <f t="shared" si="1"/>
        <v>0</v>
      </c>
      <c r="R50" s="22" t="s">
        <v>71</v>
      </c>
    </row>
    <row r="51" spans="1:18" ht="51" hidden="1" customHeight="1" outlineLevel="1">
      <c r="A51" s="172">
        <f>ПТО!A10</f>
        <v>0</v>
      </c>
      <c r="B51" s="172"/>
      <c r="C51" s="172"/>
      <c r="D51" s="172"/>
      <c r="E51" s="172"/>
      <c r="F51" s="177" t="e">
        <f>VLOOKUP(A51,ПТО!$A$2:$D$31,4,FALSE)</f>
        <v>#N/A</v>
      </c>
      <c r="G51" s="177"/>
      <c r="H51" s="25" t="e">
        <f>VLOOKUP(A51,ПТО!$A$2:$D$31,2,FALSE)</f>
        <v>#N/A</v>
      </c>
      <c r="I51" s="173" t="e">
        <f>VLOOKUP(A51,ПТО!$A$2:$D$31,3,FALSE)</f>
        <v>#N/A</v>
      </c>
      <c r="J51" s="173"/>
      <c r="K51" s="107"/>
      <c r="L51" s="189"/>
      <c r="M51" s="113"/>
      <c r="N51" s="107"/>
      <c r="O51" s="23">
        <f t="shared" si="1"/>
        <v>0</v>
      </c>
      <c r="R51" s="22" t="s">
        <v>71</v>
      </c>
    </row>
    <row r="52" spans="1:18" ht="51" hidden="1" customHeight="1" outlineLevel="1">
      <c r="A52" s="172">
        <f>ПТО!A11</f>
        <v>0</v>
      </c>
      <c r="B52" s="172"/>
      <c r="C52" s="172"/>
      <c r="D52" s="172"/>
      <c r="E52" s="172"/>
      <c r="F52" s="177" t="e">
        <f>VLOOKUP(A52,ПТО!$A$2:$D$31,4,FALSE)</f>
        <v>#N/A</v>
      </c>
      <c r="G52" s="177"/>
      <c r="H52" s="25" t="e">
        <f>VLOOKUP(A52,ПТО!$A$2:$D$31,2,FALSE)</f>
        <v>#N/A</v>
      </c>
      <c r="I52" s="173" t="e">
        <f>VLOOKUP(A52,ПТО!$A$2:$D$31,3,FALSE)</f>
        <v>#N/A</v>
      </c>
      <c r="J52" s="173"/>
      <c r="K52" s="107"/>
      <c r="L52" s="189"/>
      <c r="M52" s="113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172">
        <f>ПТО!A12</f>
        <v>0</v>
      </c>
      <c r="B53" s="172"/>
      <c r="C53" s="172"/>
      <c r="D53" s="172"/>
      <c r="E53" s="172"/>
      <c r="F53" s="177" t="e">
        <f>VLOOKUP(A53,ПТО!$A$2:$D$31,4,FALSE)</f>
        <v>#N/A</v>
      </c>
      <c r="G53" s="177"/>
      <c r="H53" s="25" t="e">
        <f>VLOOKUP(A53,ПТО!$A$2:$D$31,2,FALSE)</f>
        <v>#N/A</v>
      </c>
      <c r="I53" s="173" t="e">
        <f>VLOOKUP(A53,ПТО!$A$2:$D$31,3,FALSE)</f>
        <v>#N/A</v>
      </c>
      <c r="J53" s="173"/>
      <c r="K53" s="107"/>
      <c r="L53" s="189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7" t="e">
        <f>VLOOKUP(A54,ПТО!$A$2:$D$31,4,FALSE)</f>
        <v>#N/A</v>
      </c>
      <c r="G54" s="177"/>
      <c r="H54" s="25" t="e">
        <f>VLOOKUP(A54,ПТО!$A$2:$D$31,2,FALSE)</f>
        <v>#N/A</v>
      </c>
      <c r="I54" s="173" t="e">
        <f>VLOOKUP(A54,ПТО!$A$2:$D$31,3,FALSE)</f>
        <v>#N/A</v>
      </c>
      <c r="J54" s="173"/>
      <c r="K54" s="107"/>
      <c r="L54" s="189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7" t="e">
        <f>VLOOKUP(A55,ПТО!$A$2:$D$31,4,FALSE)</f>
        <v>#N/A</v>
      </c>
      <c r="G55" s="177"/>
      <c r="H55" s="25" t="e">
        <f>VLOOKUP(A55,ПТО!$A$2:$D$31,2,FALSE)</f>
        <v>#N/A</v>
      </c>
      <c r="I55" s="173" t="e">
        <f>VLOOKUP(A55,ПТО!$A$2:$D$31,3,FALSE)</f>
        <v>#N/A</v>
      </c>
      <c r="J55" s="173"/>
      <c r="K55" s="107"/>
      <c r="L55" s="189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7" t="e">
        <f>VLOOKUP(A56,ПТО!$A$2:$D$31,4,FALSE)</f>
        <v>#N/A</v>
      </c>
      <c r="G56" s="177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07"/>
      <c r="L56" s="189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7" t="e">
        <f>VLOOKUP(A57,ПТО!$A$2:$D$31,4,FALSE)</f>
        <v>#N/A</v>
      </c>
      <c r="G57" s="177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07"/>
      <c r="L57" s="189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7" t="e">
        <f>VLOOKUP(A58,ПТО!$A$2:$D$31,4,FALSE)</f>
        <v>#N/A</v>
      </c>
      <c r="G58" s="177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7"/>
      <c r="L58" s="189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7"/>
      <c r="L59" s="189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7"/>
      <c r="L60" s="189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7"/>
      <c r="L61" s="189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7"/>
      <c r="L62" s="189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7"/>
      <c r="L63" s="189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7"/>
      <c r="L64" s="189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7"/>
      <c r="L65" s="189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7"/>
      <c r="L66" s="189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7"/>
      <c r="L67" s="189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7"/>
      <c r="L68" s="189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7"/>
      <c r="L69" s="189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7"/>
      <c r="L70" s="189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3"/>
      <c r="L71" s="189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7"/>
      <c r="L72" s="189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172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190" t="s">
        <v>26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7"/>
      <c r="L75" s="192"/>
      <c r="M75" s="107"/>
      <c r="N75" s="107"/>
      <c r="O75" s="68" t="s">
        <v>97</v>
      </c>
    </row>
    <row r="76" spans="1:16384" ht="18.75" customHeight="1" outlineLevel="1">
      <c r="A76" s="190" t="s">
        <v>27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7"/>
      <c r="L76" s="192"/>
      <c r="M76" s="107"/>
      <c r="N76" s="107"/>
      <c r="O76" s="68" t="s">
        <v>98</v>
      </c>
    </row>
    <row r="77" spans="1:16384" ht="21.75" customHeight="1" outlineLevel="1">
      <c r="A77" s="190" t="s">
        <v>28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7"/>
      <c r="L77" s="192"/>
      <c r="M77" s="107"/>
      <c r="N77" s="107"/>
      <c r="O77" s="68" t="s">
        <v>99</v>
      </c>
    </row>
    <row r="78" spans="1:16384" ht="18.75" customHeight="1" outlineLevel="1">
      <c r="A78" s="190" t="s">
        <v>29</v>
      </c>
      <c r="B78" s="190"/>
      <c r="C78" s="190"/>
      <c r="D78" s="190"/>
      <c r="E78" s="190"/>
      <c r="F78" s="190"/>
      <c r="G78" s="190"/>
      <c r="H78" s="190"/>
      <c r="I78" s="190"/>
      <c r="J78" s="95">
        <f>VLOOKUP(O78,АО,3,FALSE)</f>
        <v>0</v>
      </c>
      <c r="K78" s="107"/>
      <c r="L78" s="192"/>
      <c r="M78" s="107"/>
      <c r="N78" s="107"/>
      <c r="O78" s="68" t="s">
        <v>100</v>
      </c>
    </row>
    <row r="79" spans="1:16384">
      <c r="A79" s="112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5">
        <f t="shared" ref="J81:J90" si="2">VLOOKUP(O81,АО,3,FALSE)</f>
        <v>0</v>
      </c>
      <c r="K81" s="107"/>
      <c r="L81" s="178"/>
      <c r="M81" s="107"/>
      <c r="N81" s="107"/>
      <c r="O81" s="68" t="s">
        <v>101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5">
        <f t="shared" si="2"/>
        <v>0</v>
      </c>
      <c r="K82" s="107"/>
      <c r="L82" s="178"/>
      <c r="M82" s="107"/>
      <c r="N82" s="107"/>
      <c r="O82" s="68" t="s">
        <v>102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5">
        <f t="shared" si="2"/>
        <v>135793.89000000001</v>
      </c>
      <c r="K83" s="107"/>
      <c r="L83" s="178"/>
      <c r="M83" s="107"/>
      <c r="N83" s="107"/>
      <c r="O83" s="68" t="s">
        <v>103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5">
        <f t="shared" si="2"/>
        <v>0</v>
      </c>
      <c r="K84" s="107"/>
      <c r="L84" s="178"/>
      <c r="M84" s="107"/>
      <c r="N84" s="107"/>
      <c r="O84" s="68" t="s">
        <v>104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5">
        <f t="shared" si="2"/>
        <v>0</v>
      </c>
      <c r="K85" s="107"/>
      <c r="L85" s="178"/>
      <c r="M85" s="107"/>
      <c r="N85" s="107"/>
      <c r="O85" s="68" t="s">
        <v>105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5">
        <f t="shared" si="2"/>
        <v>138045.72</v>
      </c>
      <c r="K86" s="107"/>
      <c r="L86" s="178"/>
      <c r="M86" s="107"/>
      <c r="N86" s="107"/>
      <c r="O86" s="68" t="s">
        <v>106</v>
      </c>
    </row>
    <row r="87" spans="1:15" ht="18.75" customHeight="1" outlineLevel="1">
      <c r="A87" s="184" t="s">
        <v>26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7"/>
      <c r="L87" s="178"/>
      <c r="M87" s="107"/>
      <c r="N87" s="107"/>
      <c r="O87" s="68" t="s">
        <v>107</v>
      </c>
    </row>
    <row r="88" spans="1:15" ht="18.75" customHeight="1" outlineLevel="1">
      <c r="A88" s="184" t="s">
        <v>27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7"/>
      <c r="L88" s="178"/>
      <c r="M88" s="107"/>
      <c r="N88" s="107"/>
      <c r="O88" s="68" t="s">
        <v>108</v>
      </c>
    </row>
    <row r="89" spans="1:15" ht="18.75" customHeight="1" outlineLevel="1">
      <c r="A89" s="184" t="s">
        <v>28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7"/>
      <c r="L89" s="178"/>
      <c r="M89" s="107"/>
      <c r="N89" s="107"/>
      <c r="O89" s="68" t="s">
        <v>109</v>
      </c>
    </row>
    <row r="90" spans="1:15" ht="18.75" customHeight="1" outlineLevel="1">
      <c r="A90" s="184" t="s">
        <v>29</v>
      </c>
      <c r="B90" s="185"/>
      <c r="C90" s="185"/>
      <c r="D90" s="185"/>
      <c r="E90" s="185"/>
      <c r="F90" s="185"/>
      <c r="G90" s="185"/>
      <c r="H90" s="185"/>
      <c r="I90" s="186"/>
      <c r="J90" s="95">
        <f t="shared" si="2"/>
        <v>0</v>
      </c>
      <c r="K90" s="107"/>
      <c r="L90" s="178"/>
      <c r="M90" s="107"/>
      <c r="N90" s="107"/>
      <c r="O90" s="68" t="s">
        <v>110</v>
      </c>
    </row>
    <row r="91" spans="1:15">
      <c r="A91" s="102" t="s">
        <v>172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193" t="s">
        <v>47</v>
      </c>
      <c r="B93" s="193"/>
      <c r="C93" s="193"/>
      <c r="D93" s="194" t="s">
        <v>48</v>
      </c>
      <c r="E93" s="194"/>
      <c r="F93" s="10" t="s">
        <v>49</v>
      </c>
      <c r="G93" s="193" t="s">
        <v>50</v>
      </c>
      <c r="H93" s="193"/>
      <c r="I93" s="193"/>
      <c r="J93" s="193"/>
      <c r="K93" s="107"/>
      <c r="L93" s="107"/>
      <c r="M93" s="107"/>
      <c r="N93" s="107"/>
    </row>
    <row r="94" spans="1:15" hidden="1" outlineLevel="1">
      <c r="A94" s="174">
        <f>IF(VLOOKUP("эл",АО,3,FALSE)&gt;0,"Электроснабжение",0)</f>
        <v>0</v>
      </c>
      <c r="B94" s="174"/>
      <c r="C94" s="174"/>
      <c r="D94" s="175">
        <f>IF(VLOOKUP("эл",АО,3,FALSE)&gt;0,VLOOKUP("эл",АО,3,FALSE),0)</f>
        <v>0</v>
      </c>
      <c r="E94" s="175"/>
      <c r="F94" s="13">
        <f>IF(VLOOKUP("эл",АО,3,FALSE)&gt;0,VLOOKUP("эл",АО,4,FALSE),0)</f>
        <v>0</v>
      </c>
      <c r="G94" s="176">
        <f>VLOOKUP("эл",АО,5,FALSE)</f>
        <v>0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hidden="1" outlineLevel="2">
      <c r="A95" s="191">
        <f>IF(VLOOKUP("эл",АО,3,FALSE)&gt;0,VLOOKUP("эл1",АО,2,FALSE),0)</f>
        <v>0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0</v>
      </c>
      <c r="L95" s="179"/>
      <c r="O95" s="1" t="s">
        <v>111</v>
      </c>
    </row>
    <row r="96" spans="1:15" hidden="1" outlineLevel="2">
      <c r="A96" s="191">
        <f>IF(VLOOKUP("эл",АО,3,FALSE)&gt;0,VLOOKUP("эл2",АО,2,FALSE),0)</f>
        <v>0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0</v>
      </c>
      <c r="L96" s="179"/>
      <c r="O96" s="1" t="s">
        <v>112</v>
      </c>
    </row>
    <row r="97" spans="1:15" hidden="1" outlineLevel="2">
      <c r="A97" s="191">
        <f>IF(VLOOKUP("эл",АО,3,FALSE)&gt;0,VLOOKUP("эл3",АО,2,FALSE),0)</f>
        <v>0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0</v>
      </c>
      <c r="L97" s="179"/>
      <c r="O97" s="1" t="s">
        <v>113</v>
      </c>
    </row>
    <row r="98" spans="1:15" ht="37.5" hidden="1" customHeight="1" outlineLevel="2">
      <c r="A98" s="191">
        <f>IF(VLOOKUP("эл",АО,3,FALSE)&gt;0,VLOOKUP("эл4",АО,2,FALSE),0)</f>
        <v>0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0</v>
      </c>
      <c r="L98" s="179"/>
      <c r="O98" s="1" t="s">
        <v>114</v>
      </c>
    </row>
    <row r="99" spans="1:15" hidden="1" outlineLevel="2">
      <c r="A99" s="191">
        <f>IF(VLOOKUP("эл",АО,3,FALSE)&gt;0,VLOOKUP("эл5",АО,2,FALSE),0)</f>
        <v>0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0</v>
      </c>
      <c r="L99" s="179"/>
      <c r="O99" s="1" t="s">
        <v>115</v>
      </c>
    </row>
    <row r="100" spans="1:15" ht="39" hidden="1" customHeight="1" outlineLevel="2">
      <c r="A100" s="191">
        <f>IF(VLOOKUP("эл",АО,3,FALSE)&gt;0,VLOOKUP("эл6",АО,2,FALSE),0)</f>
        <v>0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116</v>
      </c>
    </row>
    <row r="101" spans="1:15" ht="34.5" hidden="1" customHeight="1" outlineLevel="2">
      <c r="A101" s="191">
        <f>IF(VLOOKUP("эл",АО,3,FALSE)&gt;0,VLOOKUP("эл7",АО,2,FALSE),0)</f>
        <v>0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117</v>
      </c>
    </row>
    <row r="102" spans="1:15" ht="28.5" hidden="1" customHeight="1" outlineLevel="1">
      <c r="A102" s="174">
        <f>IF(VLOOKUP("хвс",АО,3,FALSE)&gt;0,"Холодное водоснабжение",0)</f>
        <v>0</v>
      </c>
      <c r="B102" s="174"/>
      <c r="C102" s="174"/>
      <c r="D102" s="175">
        <f>IF(VLOOKUP("хвс",АО,3,FALSE)&gt;0,VLOOKUP("хвс",АО,3,FALSE),0)</f>
        <v>0</v>
      </c>
      <c r="E102" s="175"/>
      <c r="F102" s="13">
        <f>IF(VLOOKUP("хвс",АО,3,FALSE)&gt;0,VLOOKUP("хвс",АО,4,FALSE),0)</f>
        <v>0</v>
      </c>
      <c r="G102" s="176">
        <f>VLOOKUP("хвс",АО,5,FALSE)</f>
        <v>0</v>
      </c>
      <c r="H102" s="175"/>
      <c r="I102" s="175"/>
      <c r="J102" s="175"/>
      <c r="L102" s="179"/>
    </row>
    <row r="103" spans="1:15" hidden="1" outlineLevel="2">
      <c r="A103" s="191">
        <f t="shared" ref="A103:A109" si="4">IF(VLOOKUP("хвс",АО,3,FALSE)&gt;0,VLOOKUP(O103,АО,2,FALSE),0)</f>
        <v>0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0</v>
      </c>
      <c r="L103" s="179"/>
      <c r="O103" s="1" t="s">
        <v>120</v>
      </c>
    </row>
    <row r="104" spans="1:15" ht="18.75" hidden="1" customHeight="1" outlineLevel="2">
      <c r="A104" s="191">
        <f t="shared" si="4"/>
        <v>0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0</v>
      </c>
      <c r="L104" s="179"/>
      <c r="O104" s="1" t="s">
        <v>121</v>
      </c>
    </row>
    <row r="105" spans="1:15" ht="18.75" hidden="1" customHeight="1" outlineLevel="2">
      <c r="A105" s="191">
        <f t="shared" si="4"/>
        <v>0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0</v>
      </c>
      <c r="L105" s="179"/>
      <c r="O105" s="1" t="s">
        <v>122</v>
      </c>
    </row>
    <row r="106" spans="1:15" ht="36.75" hidden="1" customHeight="1" outlineLevel="2">
      <c r="A106" s="191">
        <f t="shared" si="4"/>
        <v>0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0</v>
      </c>
      <c r="L106" s="179"/>
      <c r="O106" s="1" t="s">
        <v>123</v>
      </c>
    </row>
    <row r="107" spans="1:15" ht="18.75" hidden="1" customHeight="1" outlineLevel="2">
      <c r="A107" s="191">
        <f t="shared" si="4"/>
        <v>0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0</v>
      </c>
      <c r="L107" s="179"/>
      <c r="O107" s="1" t="s">
        <v>124</v>
      </c>
    </row>
    <row r="108" spans="1:15" ht="37.5" hidden="1" customHeight="1" outlineLevel="2">
      <c r="A108" s="191">
        <f t="shared" si="4"/>
        <v>0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125</v>
      </c>
    </row>
    <row r="109" spans="1:15" ht="39.75" hidden="1" customHeight="1" outlineLevel="2">
      <c r="A109" s="191">
        <f t="shared" si="4"/>
        <v>0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126</v>
      </c>
    </row>
    <row r="110" spans="1:15" ht="27" hidden="1" customHeight="1" outlineLevel="1">
      <c r="A110" s="174">
        <f>IF(VLOOKUP("воо",АО,3,FALSE)&gt;0,"Водоотведение",0)</f>
        <v>0</v>
      </c>
      <c r="B110" s="174"/>
      <c r="C110" s="174"/>
      <c r="D110" s="175">
        <f>IF(VLOOKUP("воо",АО,3,FALSE)&gt;0,VLOOKUP("воо",АО,3,FALSE),0)</f>
        <v>0</v>
      </c>
      <c r="E110" s="175"/>
      <c r="F110" s="13">
        <f>IF(VLOOKUP("воо",АО,3,FALSE)&gt;0,VLOOKUP("воо",АО,4,FALSE),0)</f>
        <v>0</v>
      </c>
      <c r="G110" s="176">
        <f>VLOOKUP("воо",АО,5,FALSE)</f>
        <v>0</v>
      </c>
      <c r="H110" s="175"/>
      <c r="I110" s="175"/>
      <c r="J110" s="175"/>
      <c r="L110" s="179"/>
    </row>
    <row r="111" spans="1:15" hidden="1" outlineLevel="2">
      <c r="A111" s="170">
        <f t="shared" ref="A111:A117" si="6">IF(VLOOKUP("воо",АО,3,FALSE)&gt;0,VLOOKUP(O111,АО,2,FALSE),0)</f>
        <v>0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0</v>
      </c>
      <c r="L111" s="179"/>
      <c r="O111" s="1" t="s">
        <v>128</v>
      </c>
    </row>
    <row r="112" spans="1:15" ht="18.75" hidden="1" customHeight="1" outlineLevel="2">
      <c r="A112" s="170">
        <f t="shared" si="6"/>
        <v>0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0</v>
      </c>
      <c r="L112" s="179"/>
      <c r="O112" s="1" t="s">
        <v>129</v>
      </c>
    </row>
    <row r="113" spans="1:15" ht="19.5" hidden="1" customHeight="1" outlineLevel="2">
      <c r="A113" s="170">
        <f t="shared" si="6"/>
        <v>0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79"/>
      <c r="O113" s="1" t="s">
        <v>130</v>
      </c>
    </row>
    <row r="114" spans="1:15" ht="33" hidden="1" customHeight="1" outlineLevel="2">
      <c r="A114" s="170">
        <f t="shared" si="6"/>
        <v>0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0</v>
      </c>
      <c r="L114" s="179"/>
      <c r="O114" s="1" t="s">
        <v>131</v>
      </c>
    </row>
    <row r="115" spans="1:15" ht="18.75" hidden="1" customHeight="1" outlineLevel="2">
      <c r="A115" s="170">
        <f t="shared" si="6"/>
        <v>0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0</v>
      </c>
      <c r="L115" s="179"/>
      <c r="O115" s="1" t="s">
        <v>132</v>
      </c>
    </row>
    <row r="116" spans="1:15" ht="33.75" hidden="1" customHeight="1" outlineLevel="2">
      <c r="A116" s="170">
        <f t="shared" si="6"/>
        <v>0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133</v>
      </c>
    </row>
    <row r="117" spans="1:15" ht="32.25" hidden="1" customHeight="1" outlineLevel="2">
      <c r="A117" s="170">
        <f t="shared" si="6"/>
        <v>0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134</v>
      </c>
    </row>
    <row r="118" spans="1:15" ht="32.25" hidden="1" customHeight="1" outlineLevel="1">
      <c r="A118" s="174">
        <f>IF(VLOOKUP("тко",АО,3,FALSE)&gt;0,"Обращение с ТКО",0)</f>
        <v>0</v>
      </c>
      <c r="B118" s="174"/>
      <c r="C118" s="174"/>
      <c r="D118" s="175">
        <f>IF(VLOOKUP("тко",АО,3,FALSE)&gt;0,VLOOKUP("тко",АО,3,FALSE),0)</f>
        <v>0</v>
      </c>
      <c r="E118" s="175"/>
      <c r="F118" s="13">
        <f>IF(VLOOKUP("тко",АО,3,FALSE)&gt;0,VLOOKUP("тко",АО,4,FALSE),0)</f>
        <v>0</v>
      </c>
      <c r="G118" s="176">
        <f>VLOOKUP("тко",АО,5,FALSE)</f>
        <v>0</v>
      </c>
      <c r="H118" s="175"/>
      <c r="I118" s="175"/>
      <c r="J118" s="175"/>
      <c r="L118" s="45"/>
    </row>
    <row r="119" spans="1:15" ht="32.25" hidden="1" customHeight="1" outlineLevel="2">
      <c r="A119" s="170">
        <f t="shared" ref="A119:A125" si="8">IF(VLOOKUP("тко",АО,3,FALSE)&gt;0,VLOOKUP(O119,АО,2,FALSE),0)</f>
        <v>0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0</v>
      </c>
      <c r="L119" s="45"/>
      <c r="O119" s="1" t="s">
        <v>136</v>
      </c>
    </row>
    <row r="120" spans="1:15" ht="32.25" hidden="1" customHeight="1" outlineLevel="2">
      <c r="A120" s="170">
        <f t="shared" si="8"/>
        <v>0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0</v>
      </c>
      <c r="L120" s="45"/>
      <c r="O120" s="1" t="s">
        <v>137</v>
      </c>
    </row>
    <row r="121" spans="1:15" ht="32.25" hidden="1" customHeight="1" outlineLevel="2">
      <c r="A121" s="170">
        <f t="shared" si="8"/>
        <v>0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5"/>
      <c r="O121" s="1" t="s">
        <v>138</v>
      </c>
    </row>
    <row r="122" spans="1:15" ht="32.25" hidden="1" customHeight="1" outlineLevel="2">
      <c r="A122" s="170">
        <f t="shared" si="8"/>
        <v>0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0</v>
      </c>
      <c r="L122" s="45"/>
      <c r="O122" s="1" t="s">
        <v>139</v>
      </c>
    </row>
    <row r="123" spans="1:15" ht="32.25" hidden="1" customHeight="1" outlineLevel="2">
      <c r="A123" s="170">
        <f t="shared" si="8"/>
        <v>0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0</v>
      </c>
      <c r="L123" s="45"/>
      <c r="O123" s="1" t="s">
        <v>140</v>
      </c>
    </row>
    <row r="124" spans="1:15" ht="32.25" hidden="1" customHeight="1" outlineLevel="2">
      <c r="A124" s="170">
        <f t="shared" si="8"/>
        <v>0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5"/>
      <c r="O124" s="1" t="s">
        <v>141</v>
      </c>
    </row>
    <row r="125" spans="1:15" ht="32.25" hidden="1" customHeight="1" outlineLevel="2">
      <c r="A125" s="170">
        <f t="shared" si="8"/>
        <v>0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5"/>
      <c r="O125" s="1" t="s">
        <v>142</v>
      </c>
    </row>
    <row r="126" spans="1:15" ht="32.25" hidden="1" customHeight="1" outlineLevel="1">
      <c r="A126" s="174">
        <f>IF(VLOOKUP("гвс",АО,3,FALSE)&gt;0,"Горячее водоснабжение",0)</f>
        <v>0</v>
      </c>
      <c r="B126" s="174"/>
      <c r="C126" s="174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6">
        <f>VLOOKUP("гвс",АО,5,FALSE)</f>
        <v>0</v>
      </c>
      <c r="H126" s="175"/>
      <c r="I126" s="175"/>
      <c r="J126" s="175"/>
      <c r="L126" s="45"/>
    </row>
    <row r="127" spans="1:15" ht="32.25" hidden="1" customHeight="1" outlineLevel="2">
      <c r="A127" s="170">
        <f t="shared" ref="A127:A133" si="10">IF(VLOOKUP("гвс",АО,3,FALSE)&gt;0,VLOOKUP(O127,АО,2,FALSE),0)</f>
        <v>0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0</v>
      </c>
      <c r="L127" s="45"/>
      <c r="O127" s="1" t="s">
        <v>144</v>
      </c>
    </row>
    <row r="128" spans="1:15" ht="32.25" hidden="1" customHeight="1" outlineLevel="2">
      <c r="A128" s="170">
        <f t="shared" si="10"/>
        <v>0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0</v>
      </c>
      <c r="L128" s="45"/>
      <c r="O128" s="1" t="s">
        <v>145</v>
      </c>
    </row>
    <row r="129" spans="1:15" ht="32.25" hidden="1" customHeight="1" outlineLevel="2">
      <c r="A129" s="170">
        <f t="shared" si="10"/>
        <v>0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5"/>
      <c r="O129" s="1" t="s">
        <v>146</v>
      </c>
    </row>
    <row r="130" spans="1:15" ht="32.25" hidden="1" customHeight="1" outlineLevel="2">
      <c r="A130" s="170">
        <f t="shared" si="10"/>
        <v>0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0</v>
      </c>
      <c r="L130" s="45"/>
      <c r="O130" s="1" t="s">
        <v>147</v>
      </c>
    </row>
    <row r="131" spans="1:15" ht="32.25" hidden="1" customHeight="1" outlineLevel="2">
      <c r="A131" s="170">
        <f t="shared" si="10"/>
        <v>0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0</v>
      </c>
      <c r="L131" s="45"/>
      <c r="O131" s="1" t="s">
        <v>148</v>
      </c>
    </row>
    <row r="132" spans="1:15" ht="32.25" hidden="1" customHeight="1" outlineLevel="2">
      <c r="A132" s="170">
        <f t="shared" si="10"/>
        <v>0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5"/>
      <c r="O132" s="1" t="s">
        <v>149</v>
      </c>
    </row>
    <row r="133" spans="1:15" ht="32.25" hidden="1" customHeight="1" outlineLevel="2">
      <c r="A133" s="170">
        <f t="shared" si="10"/>
        <v>0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5"/>
      <c r="O133" s="1" t="s">
        <v>150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5"/>
      <c r="I134" s="175"/>
      <c r="J134" s="175"/>
      <c r="L134" s="45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5"/>
      <c r="O135" s="1" t="s">
        <v>152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5"/>
      <c r="O136" s="1" t="s">
        <v>153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5"/>
      <c r="O137" s="1" t="s">
        <v>154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5"/>
      <c r="O138" s="1" t="s">
        <v>155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5"/>
      <c r="O139" s="1" t="s">
        <v>156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5"/>
      <c r="O140" s="1" t="s">
        <v>157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5"/>
      <c r="O141" s="1" t="s">
        <v>158</v>
      </c>
    </row>
    <row r="143" spans="1:15">
      <c r="A143" s="11" t="s">
        <v>43</v>
      </c>
    </row>
    <row r="144" spans="1:15" ht="18.75" customHeight="1" outlineLevel="1">
      <c r="A144" s="170" t="s">
        <v>44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168</v>
      </c>
    </row>
    <row r="145" spans="1:15" ht="18.75" customHeight="1" outlineLevel="1">
      <c r="A145" s="170" t="s">
        <v>45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70" t="s">
        <v>171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0</v>
      </c>
      <c r="O146" t="s">
        <v>170</v>
      </c>
    </row>
    <row r="149" spans="1:15" ht="52.5" customHeight="1">
      <c r="A149" s="195" t="s">
        <v>176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7" t="s">
        <v>188</v>
      </c>
      <c r="B154" s="197"/>
      <c r="C154" s="197"/>
      <c r="D154" s="197"/>
      <c r="E154" s="27">
        <f>ПТО!G1</f>
        <v>-93863.18</v>
      </c>
    </row>
    <row r="155" spans="1:15" ht="34.5" customHeight="1">
      <c r="A155" s="196" t="s">
        <v>187</v>
      </c>
      <c r="B155" s="196"/>
      <c r="C155" s="196"/>
      <c r="D155" s="196"/>
      <c r="E155" s="28">
        <f>J13</f>
        <v>179928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56</v>
      </c>
      <c r="I157" s="180" t="s">
        <v>21</v>
      </c>
      <c r="J157" s="180"/>
    </row>
    <row r="158" spans="1:15" ht="29.25" customHeight="1">
      <c r="A158" s="172" t="str">
        <f t="shared" ref="A158:A163" si="14">IF(N158&gt;0,N158,0)</f>
        <v>Промышленная очистка кровли от снега и наледи.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17058.599999999999</v>
      </c>
      <c r="G158" s="177"/>
      <c r="H158" s="24" t="str">
        <f t="shared" ref="H158:H187" si="16">VLOOKUP(A158,$A$28:$J$72,8,FALSE)</f>
        <v>разово</v>
      </c>
      <c r="I158" s="173">
        <f t="shared" ref="I158:I161" si="17">VLOOKUP(A158,$A$28:$J$72,9,FALSE)</f>
        <v>1</v>
      </c>
      <c r="J158" s="173"/>
      <c r="M158" s="22" t="s">
        <v>71</v>
      </c>
      <c r="N158" s="1" t="str">
        <f t="array" ref="N158:N187">INDEX($O$43:$O$72,SMALL(IF($M$158=R43:R72,ROW(O43:O72)-42,""),ROW()-157))</f>
        <v>Промышленная очистка кровли от снега и наледи.</v>
      </c>
    </row>
    <row r="159" spans="1:15" ht="28.5" customHeight="1">
      <c r="A159" s="172" t="str">
        <f t="shared" si="14"/>
        <v>Механизированная уборка и вывоз снега с придомовой территории.</v>
      </c>
      <c r="B159" s="172"/>
      <c r="C159" s="172"/>
      <c r="D159" s="172"/>
      <c r="E159" s="172"/>
      <c r="F159" s="177">
        <f t="shared" si="15"/>
        <v>13500</v>
      </c>
      <c r="G159" s="177"/>
      <c r="H159" s="24" t="str">
        <f t="shared" si="16"/>
        <v>разово</v>
      </c>
      <c r="I159" s="173">
        <f t="shared" si="17"/>
        <v>1</v>
      </c>
      <c r="J159" s="173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72" t="str">
        <f t="shared" si="14"/>
        <v>Ремонт фасада цокольного этажа (установка металлического листа).</v>
      </c>
      <c r="B160" s="172"/>
      <c r="C160" s="172"/>
      <c r="D160" s="172"/>
      <c r="E160" s="172"/>
      <c r="F160" s="177">
        <f t="shared" si="15"/>
        <v>82651.03</v>
      </c>
      <c r="G160" s="177"/>
      <c r="H160" s="24" t="str">
        <f t="shared" si="16"/>
        <v>разово</v>
      </c>
      <c r="I160" s="173">
        <f t="shared" si="17"/>
        <v>1</v>
      </c>
      <c r="J160" s="173"/>
      <c r="M160" s="22" t="s">
        <v>71</v>
      </c>
      <c r="N160" s="1" t="str">
        <v>Ремонт фасада цокольного этажа (установка металлического листа).</v>
      </c>
    </row>
    <row r="161" spans="1:14" ht="28.5" customHeight="1">
      <c r="A161" s="172" t="str">
        <f>IF(N161&gt;0,N161,0)</f>
        <v>Ремонт уличного освещения.</v>
      </c>
      <c r="B161" s="172"/>
      <c r="C161" s="172"/>
      <c r="D161" s="172"/>
      <c r="E161" s="172"/>
      <c r="F161" s="177">
        <f t="shared" si="15"/>
        <v>14237.59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71</v>
      </c>
      <c r="N161" s="1" t="str">
        <v>Ремонт уличного освещения.</v>
      </c>
    </row>
    <row r="162" spans="1:14" ht="28.5" customHeight="1">
      <c r="A162" s="172" t="str">
        <f t="shared" si="14"/>
        <v>Замена лампы уличного освещения.</v>
      </c>
      <c r="B162" s="172"/>
      <c r="C162" s="172"/>
      <c r="D162" s="172"/>
      <c r="E162" s="172"/>
      <c r="F162" s="177">
        <f t="shared" si="15"/>
        <v>2700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71</v>
      </c>
      <c r="N162" s="1" t="str">
        <v>Замена лампы уличного освещения.</v>
      </c>
    </row>
    <row r="163" spans="1:14" ht="28.5" customHeight="1">
      <c r="A163" s="172" t="str">
        <f t="shared" si="14"/>
        <v>Приобретение и замена доводчика тамбурной двери.</v>
      </c>
      <c r="B163" s="172"/>
      <c r="C163" s="172"/>
      <c r="D163" s="172"/>
      <c r="E163" s="172"/>
      <c r="F163" s="177">
        <f t="shared" si="15"/>
        <v>1950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71</v>
      </c>
      <c r="N163" s="1" t="str">
        <v>Приобретение и замена доводчика тамбурной двери.</v>
      </c>
    </row>
    <row r="164" spans="1:14" ht="28.5" customHeight="1">
      <c r="A164" s="172" t="str">
        <f t="shared" ref="A164:A187" si="18">IF(N164&gt;0,N164,0)</f>
        <v>Замена участка трубопровода в ИТП (сварочные работы).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3200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71</v>
      </c>
      <c r="N164" s="1" t="str">
        <v>Замена участка трубопровода в ИТП (сварочные работы).</v>
      </c>
    </row>
    <row r="165" spans="1:14" ht="28.5" hidden="1" customHeight="1">
      <c r="A165" s="172">
        <f t="shared" si="18"/>
        <v>0</v>
      </c>
      <c r="B165" s="172"/>
      <c r="C165" s="172"/>
      <c r="D165" s="172"/>
      <c r="E165" s="172"/>
      <c r="F165" s="177">
        <f t="shared" si="19"/>
        <v>0</v>
      </c>
      <c r="G165" s="177"/>
      <c r="H165" s="29" t="e">
        <f t="shared" si="16"/>
        <v>#N/A</v>
      </c>
      <c r="I165" s="173" t="e">
        <f t="shared" si="20"/>
        <v>#N/A</v>
      </c>
      <c r="J165" s="173"/>
      <c r="M165" s="22" t="s">
        <v>71</v>
      </c>
      <c r="N165" s="1">
        <v>0</v>
      </c>
    </row>
    <row r="166" spans="1:14" ht="28.5" hidden="1" customHeight="1">
      <c r="A166" s="172">
        <f t="shared" si="18"/>
        <v>0</v>
      </c>
      <c r="B166" s="172"/>
      <c r="C166" s="172"/>
      <c r="D166" s="172"/>
      <c r="E166" s="172"/>
      <c r="F166" s="177">
        <f t="shared" si="19"/>
        <v>0</v>
      </c>
      <c r="G166" s="177"/>
      <c r="H166" s="29" t="e">
        <f t="shared" si="16"/>
        <v>#N/A</v>
      </c>
      <c r="I166" s="173" t="e">
        <f t="shared" si="20"/>
        <v>#N/A</v>
      </c>
      <c r="J166" s="173"/>
      <c r="M166" s="22" t="s">
        <v>71</v>
      </c>
      <c r="N166" s="1">
        <v>0</v>
      </c>
    </row>
    <row r="167" spans="1:14" ht="28.5" hidden="1" customHeight="1">
      <c r="A167" s="172">
        <f t="shared" si="18"/>
        <v>0</v>
      </c>
      <c r="B167" s="172"/>
      <c r="C167" s="172"/>
      <c r="D167" s="172"/>
      <c r="E167" s="172"/>
      <c r="F167" s="177">
        <f t="shared" si="19"/>
        <v>0</v>
      </c>
      <c r="G167" s="177"/>
      <c r="H167" s="29" t="e">
        <f t="shared" si="16"/>
        <v>#N/A</v>
      </c>
      <c r="I167" s="173" t="e">
        <f t="shared" si="20"/>
        <v>#N/A</v>
      </c>
      <c r="J167" s="173"/>
      <c r="M167" s="22" t="s">
        <v>71</v>
      </c>
      <c r="N167" s="1">
        <v>0</v>
      </c>
    </row>
    <row r="168" spans="1:14" ht="28.5" hidden="1" customHeight="1">
      <c r="A168" s="172">
        <f t="shared" si="18"/>
        <v>0</v>
      </c>
      <c r="B168" s="172"/>
      <c r="C168" s="172"/>
      <c r="D168" s="172"/>
      <c r="E168" s="172"/>
      <c r="F168" s="177">
        <f t="shared" si="19"/>
        <v>0</v>
      </c>
      <c r="G168" s="177"/>
      <c r="H168" s="29" t="e">
        <f t="shared" si="16"/>
        <v>#N/A</v>
      </c>
      <c r="I168" s="173" t="e">
        <f t="shared" si="20"/>
        <v>#N/A</v>
      </c>
      <c r="J168" s="173"/>
      <c r="M168" s="22" t="s">
        <v>71</v>
      </c>
      <c r="N168" s="1">
        <v>0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7">
        <f t="shared" si="19"/>
        <v>0</v>
      </c>
      <c r="G169" s="177"/>
      <c r="H169" s="29" t="e">
        <f t="shared" si="16"/>
        <v>#N/A</v>
      </c>
      <c r="I169" s="173" t="e">
        <f t="shared" si="20"/>
        <v>#N/A</v>
      </c>
      <c r="J169" s="173"/>
      <c r="M169" s="22" t="s">
        <v>71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7">
        <f t="shared" si="19"/>
        <v>0</v>
      </c>
      <c r="G170" s="177"/>
      <c r="H170" s="29" t="e">
        <f t="shared" si="16"/>
        <v>#N/A</v>
      </c>
      <c r="I170" s="173" t="e">
        <f t="shared" si="20"/>
        <v>#N/A</v>
      </c>
      <c r="J170" s="173"/>
      <c r="M170" s="22" t="s">
        <v>71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7">
        <f t="shared" si="19"/>
        <v>0</v>
      </c>
      <c r="G171" s="177"/>
      <c r="H171" s="29" t="e">
        <f t="shared" si="16"/>
        <v>#N/A</v>
      </c>
      <c r="I171" s="173" t="e">
        <f t="shared" si="20"/>
        <v>#N/A</v>
      </c>
      <c r="J171" s="173"/>
      <c r="M171" s="22" t="s">
        <v>71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7">
        <f t="shared" si="19"/>
        <v>0</v>
      </c>
      <c r="G172" s="177"/>
      <c r="H172" s="29" t="e">
        <f t="shared" si="16"/>
        <v>#N/A</v>
      </c>
      <c r="I172" s="173" t="e">
        <f t="shared" si="20"/>
        <v>#N/A</v>
      </c>
      <c r="J172" s="173"/>
      <c r="M172" s="22" t="s">
        <v>71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7">
        <f t="shared" si="19"/>
        <v>0</v>
      </c>
      <c r="G173" s="177"/>
      <c r="H173" s="29" t="e">
        <f t="shared" si="16"/>
        <v>#N/A</v>
      </c>
      <c r="I173" s="173" t="e">
        <f t="shared" si="20"/>
        <v>#N/A</v>
      </c>
      <c r="J173" s="173"/>
      <c r="M173" s="22" t="s">
        <v>71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7">
        <f t="shared" si="19"/>
        <v>0</v>
      </c>
      <c r="G174" s="177"/>
      <c r="H174" s="29" t="e">
        <f t="shared" si="16"/>
        <v>#N/A</v>
      </c>
      <c r="I174" s="173" t="e">
        <f t="shared" si="20"/>
        <v>#N/A</v>
      </c>
      <c r="J174" s="173"/>
      <c r="M174" s="22" t="s">
        <v>71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71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71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71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71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71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71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71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71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71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71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71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71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71</v>
      </c>
      <c r="N187" s="1">
        <v>0</v>
      </c>
    </row>
    <row r="188" spans="1:14" ht="29.25" customHeight="1">
      <c r="A188" s="102" t="s">
        <v>172</v>
      </c>
    </row>
    <row r="189" spans="1:14" ht="29.25" customHeight="1">
      <c r="A189" s="102" t="s">
        <v>172</v>
      </c>
    </row>
    <row r="190" spans="1:14" ht="36.75" customHeight="1">
      <c r="A190" s="197" t="s">
        <v>186</v>
      </c>
      <c r="B190" s="197"/>
      <c r="C190" s="197"/>
      <c r="D190" s="197"/>
      <c r="E190" s="27">
        <f>SUM(F158:G187)</f>
        <v>135297.22</v>
      </c>
    </row>
    <row r="191" spans="1:14" ht="51.75" customHeight="1">
      <c r="A191" s="197" t="s">
        <v>185</v>
      </c>
      <c r="B191" s="197"/>
      <c r="C191" s="197"/>
      <c r="D191" s="197"/>
      <c r="E191" s="27">
        <f>E190+E154-E155</f>
        <v>-138493.96</v>
      </c>
    </row>
    <row r="192" spans="1:14">
      <c r="A192" s="102" t="s">
        <v>172</v>
      </c>
    </row>
    <row r="193" spans="1:10" ht="62.25" customHeight="1">
      <c r="A193" s="171" t="s">
        <v>184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7">
        <f>ПТО!G12</f>
        <v>1200</v>
      </c>
      <c r="I194" s="48" t="s">
        <v>73</v>
      </c>
    </row>
    <row r="195" spans="1:10" ht="18.75" customHeight="1">
      <c r="A195" s="169" t="str">
        <f>ПТО!F13</f>
        <v xml:space="preserve">  -  механизированная уборка и вывоз снега с придомовой территории</v>
      </c>
      <c r="B195" s="169"/>
      <c r="C195" s="169"/>
      <c r="D195" s="169"/>
      <c r="E195" s="169"/>
      <c r="F195" s="169"/>
      <c r="G195" s="169"/>
      <c r="H195" s="47">
        <f>ПТО!G13</f>
        <v>20000</v>
      </c>
      <c r="I195" s="48" t="s">
        <v>73</v>
      </c>
    </row>
    <row r="196" spans="1:10" ht="18.75" customHeight="1">
      <c r="A196" s="169" t="str">
        <f>ПТО!F14</f>
        <v xml:space="preserve">  -  ремонт асфальтового покрытия</v>
      </c>
      <c r="B196" s="169"/>
      <c r="C196" s="169"/>
      <c r="D196" s="169"/>
      <c r="E196" s="169"/>
      <c r="F196" s="169"/>
      <c r="G196" s="169"/>
      <c r="H196" s="47">
        <f>ПТО!G14</f>
        <v>50000</v>
      </c>
      <c r="I196" s="48" t="s">
        <v>73</v>
      </c>
    </row>
    <row r="197" spans="1:10" ht="18.75" customHeight="1">
      <c r="A197" s="169" t="str">
        <f>ПТО!F15</f>
        <v xml:space="preserve">  -  установка газонного ограждения</v>
      </c>
      <c r="B197" s="169"/>
      <c r="C197" s="169"/>
      <c r="D197" s="169"/>
      <c r="E197" s="169"/>
      <c r="F197" s="169"/>
      <c r="G197" s="169"/>
      <c r="H197" s="47">
        <f>ПТО!G15</f>
        <v>40000</v>
      </c>
      <c r="I197" s="48" t="s">
        <v>73</v>
      </c>
    </row>
    <row r="198" spans="1:10" ht="36" customHeight="1">
      <c r="A198" s="169" t="str">
        <f>ПТО!F16</f>
        <v xml:space="preserve">  -  ремонт водосточных труб</v>
      </c>
      <c r="B198" s="169"/>
      <c r="C198" s="169"/>
      <c r="D198" s="169"/>
      <c r="E198" s="169"/>
      <c r="F198" s="169"/>
      <c r="G198" s="169"/>
      <c r="H198" s="47">
        <f>ПТО!G16</f>
        <v>10000</v>
      </c>
      <c r="I198" s="50" t="s">
        <v>73</v>
      </c>
    </row>
    <row r="199" spans="1:10" ht="18.75" hidden="1" customHeight="1">
      <c r="A199" s="169">
        <f>ПТО!F17</f>
        <v>0</v>
      </c>
      <c r="B199" s="169"/>
      <c r="C199" s="169"/>
      <c r="D199" s="169"/>
      <c r="E199" s="169"/>
      <c r="F199" s="169"/>
      <c r="G199" s="169"/>
      <c r="H199" s="47">
        <f>ПТО!G17</f>
        <v>0</v>
      </c>
      <c r="I199" s="48" t="s">
        <v>73</v>
      </c>
    </row>
    <row r="200" spans="1:10" hidden="1">
      <c r="A200" s="169">
        <f>ПТО!F18</f>
        <v>0</v>
      </c>
      <c r="B200" s="169"/>
      <c r="C200" s="169"/>
      <c r="D200" s="169"/>
      <c r="E200" s="169"/>
      <c r="F200" s="169"/>
      <c r="G200" s="169"/>
      <c r="H200" s="47">
        <f>ПТО!G18</f>
        <v>0</v>
      </c>
      <c r="I200" s="48" t="s">
        <v>73</v>
      </c>
    </row>
    <row r="201" spans="1:10" hidden="1">
      <c r="A201" s="169">
        <f>ПТО!F19</f>
        <v>0</v>
      </c>
      <c r="B201" s="169"/>
      <c r="C201" s="169"/>
      <c r="D201" s="169"/>
      <c r="E201" s="169"/>
      <c r="F201" s="169"/>
      <c r="G201" s="169"/>
      <c r="H201" s="47">
        <f>ПТО!G19</f>
        <v>0</v>
      </c>
      <c r="I201" s="48" t="s">
        <v>73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47">
        <f>ПТО!G20</f>
        <v>0</v>
      </c>
      <c r="I202" s="48" t="s">
        <v>73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47">
        <f>ПТО!G21</f>
        <v>0</v>
      </c>
      <c r="I203" s="48" t="s">
        <v>73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7">
        <f>ПТО!G22</f>
        <v>0</v>
      </c>
      <c r="I204" s="48" t="s">
        <v>73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7">
        <f>ПТО!G23</f>
        <v>0</v>
      </c>
      <c r="I205" s="48" t="s">
        <v>73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7">
        <f>ПТО!G24</f>
        <v>0</v>
      </c>
      <c r="I206" s="48" t="s">
        <v>73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7">
        <f>ПТО!G25</f>
        <v>0</v>
      </c>
      <c r="I207" s="48" t="s">
        <v>73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7">
        <f>ПТО!G26</f>
        <v>0</v>
      </c>
      <c r="I208" s="48" t="s">
        <v>73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7">
        <f>ПТО!G27</f>
        <v>0</v>
      </c>
      <c r="I209" s="48" t="s">
        <v>73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7">
        <f>ПТО!G28</f>
        <v>0</v>
      </c>
      <c r="I210" s="48" t="s">
        <v>73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7">
        <f>ПТО!G29</f>
        <v>0</v>
      </c>
      <c r="I211" s="48" t="s">
        <v>73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7">
        <f>ПТО!G30</f>
        <v>0</v>
      </c>
      <c r="I212" s="48" t="s">
        <v>73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7">
        <f>ПТО!G31</f>
        <v>0</v>
      </c>
      <c r="I213" s="48" t="s">
        <v>73</v>
      </c>
    </row>
    <row r="214" spans="1:9">
      <c r="A214" s="51" t="s">
        <v>74</v>
      </c>
      <c r="B214" s="52"/>
      <c r="C214" s="52"/>
      <c r="D214" s="52"/>
      <c r="E214" s="52"/>
      <c r="F214" s="52"/>
      <c r="G214" s="52"/>
      <c r="H214" s="53">
        <f>SUM(H194:H213)</f>
        <v>121200</v>
      </c>
      <c r="I214" s="54" t="s">
        <v>75</v>
      </c>
    </row>
  </sheetData>
  <sheetProtection algorithmName="SHA-512" hashValue="iGZFDM1zBA99CpCU+P/7hCaYAao7BWuI5a8T+4hI6qwBj55H2W+v27NmZV5MRkYarP2Bi6asjlvOBUJg4tZRYw==" saltValue="9YjrU3MIUK5k/nd6DhSfR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2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0" t="s">
        <v>19</v>
      </c>
      <c r="B1" s="130" t="s">
        <v>56</v>
      </c>
      <c r="C1" s="130" t="s">
        <v>21</v>
      </c>
      <c r="D1" s="130" t="s">
        <v>20</v>
      </c>
      <c r="E1" s="131"/>
      <c r="F1" s="98" t="s">
        <v>188</v>
      </c>
      <c r="G1" s="99">
        <f>-93863.18</f>
        <v>-93863.18</v>
      </c>
    </row>
    <row r="2" spans="1:12" ht="18.75" customHeight="1">
      <c r="A2" s="132" t="s">
        <v>183</v>
      </c>
      <c r="B2" s="133" t="s">
        <v>177</v>
      </c>
      <c r="C2" s="134">
        <v>1</v>
      </c>
      <c r="D2" s="135">
        <v>17058.599999999999</v>
      </c>
      <c r="E2" s="136" t="s">
        <v>189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7" t="s">
        <v>181</v>
      </c>
      <c r="B3" s="138" t="s">
        <v>177</v>
      </c>
      <c r="C3" s="139">
        <v>1</v>
      </c>
      <c r="D3" s="140">
        <v>13500</v>
      </c>
      <c r="E3" s="141" t="s">
        <v>192</v>
      </c>
      <c r="F3" s="30"/>
      <c r="G3" s="30"/>
      <c r="L3" s="33" t="str">
        <f t="shared" si="0"/>
        <v>ТР</v>
      </c>
    </row>
    <row r="4" spans="1:12" ht="18.75" customHeight="1">
      <c r="A4" s="142" t="s">
        <v>194</v>
      </c>
      <c r="B4" s="143" t="s">
        <v>177</v>
      </c>
      <c r="C4" s="144">
        <v>1</v>
      </c>
      <c r="D4" s="145">
        <v>82651.03</v>
      </c>
      <c r="E4" s="146" t="s">
        <v>193</v>
      </c>
      <c r="F4" s="30"/>
      <c r="G4" s="30"/>
      <c r="L4" s="33" t="str">
        <f t="shared" si="0"/>
        <v>ТР</v>
      </c>
    </row>
    <row r="5" spans="1:12" ht="18.75" customHeight="1">
      <c r="A5" s="147" t="s">
        <v>191</v>
      </c>
      <c r="B5" s="148" t="s">
        <v>177</v>
      </c>
      <c r="C5" s="148">
        <v>1</v>
      </c>
      <c r="D5" s="149">
        <v>14237.59</v>
      </c>
      <c r="E5" s="150" t="s">
        <v>195</v>
      </c>
      <c r="F5" s="42"/>
      <c r="G5" s="42"/>
      <c r="K5" s="44"/>
      <c r="L5" s="33" t="str">
        <f t="shared" si="0"/>
        <v>ТР</v>
      </c>
    </row>
    <row r="6" spans="1:12" ht="18.75" customHeight="1">
      <c r="A6" s="151" t="s">
        <v>196</v>
      </c>
      <c r="B6" s="152" t="s">
        <v>177</v>
      </c>
      <c r="C6" s="153">
        <v>1</v>
      </c>
      <c r="D6" s="154">
        <v>2700</v>
      </c>
      <c r="E6" s="155" t="s">
        <v>197</v>
      </c>
      <c r="F6" s="42"/>
      <c r="G6" s="42"/>
      <c r="K6" s="44"/>
      <c r="L6" s="33" t="str">
        <f t="shared" si="0"/>
        <v>ТР</v>
      </c>
    </row>
    <row r="7" spans="1:12" ht="18.75" customHeight="1">
      <c r="A7" s="156" t="s">
        <v>198</v>
      </c>
      <c r="B7" s="157" t="s">
        <v>177</v>
      </c>
      <c r="C7" s="144">
        <v>1</v>
      </c>
      <c r="D7" s="154">
        <v>1950</v>
      </c>
      <c r="E7" s="150" t="s">
        <v>199</v>
      </c>
      <c r="F7" s="43"/>
      <c r="G7" s="43"/>
      <c r="K7" s="44"/>
      <c r="L7" s="33" t="str">
        <f t="shared" si="0"/>
        <v>ТР</v>
      </c>
    </row>
    <row r="8" spans="1:12" ht="18.75" customHeight="1">
      <c r="A8" s="158" t="s">
        <v>190</v>
      </c>
      <c r="B8" s="159" t="s">
        <v>177</v>
      </c>
      <c r="C8" s="144">
        <v>1</v>
      </c>
      <c r="D8" s="154">
        <v>3200</v>
      </c>
      <c r="E8" s="150" t="s">
        <v>200</v>
      </c>
      <c r="F8" s="43"/>
      <c r="G8" s="43"/>
      <c r="K8" s="41"/>
      <c r="L8" s="33" t="str">
        <f t="shared" si="0"/>
        <v>ТР</v>
      </c>
    </row>
    <row r="9" spans="1:12">
      <c r="A9" s="165"/>
      <c r="B9" s="166"/>
      <c r="C9" s="167"/>
      <c r="D9" s="168"/>
      <c r="E9" s="150"/>
      <c r="F9" s="42"/>
      <c r="G9" s="42"/>
      <c r="K9" s="41"/>
      <c r="L9" s="33">
        <f t="shared" si="0"/>
        <v>0</v>
      </c>
    </row>
    <row r="10" spans="1:12">
      <c r="A10" s="126"/>
      <c r="B10" s="127"/>
      <c r="C10" s="128"/>
      <c r="D10" s="129"/>
      <c r="E10" s="123"/>
      <c r="L10" s="33">
        <f t="shared" si="0"/>
        <v>0</v>
      </c>
    </row>
    <row r="11" spans="1:12" ht="94.5">
      <c r="A11" s="120"/>
      <c r="B11" s="121"/>
      <c r="C11" s="121"/>
      <c r="D11" s="122"/>
      <c r="E11" s="123"/>
      <c r="F11" s="109" t="s">
        <v>184</v>
      </c>
      <c r="G11" s="109"/>
      <c r="L11" s="33">
        <f t="shared" si="0"/>
        <v>0</v>
      </c>
    </row>
    <row r="12" spans="1:12" ht="31.5">
      <c r="A12" s="124"/>
      <c r="B12" s="125"/>
      <c r="C12" s="117"/>
      <c r="D12" s="44"/>
      <c r="E12" s="119"/>
      <c r="F12" s="110" t="s">
        <v>72</v>
      </c>
      <c r="G12" s="111">
        <v>1200</v>
      </c>
      <c r="L12" s="33">
        <f t="shared" si="0"/>
        <v>0</v>
      </c>
    </row>
    <row r="13" spans="1:12" ht="31.5">
      <c r="A13" s="30"/>
      <c r="F13" s="110" t="s">
        <v>182</v>
      </c>
      <c r="G13" s="118">
        <v>20000</v>
      </c>
      <c r="L13" s="33">
        <f t="shared" si="0"/>
        <v>0</v>
      </c>
    </row>
    <row r="14" spans="1:12" ht="15.75">
      <c r="A14" s="30"/>
      <c r="F14" s="110" t="s">
        <v>203</v>
      </c>
      <c r="G14" s="164">
        <v>50000</v>
      </c>
      <c r="L14" s="33">
        <f t="shared" si="0"/>
        <v>0</v>
      </c>
    </row>
    <row r="15" spans="1:12" ht="15.75">
      <c r="A15" s="30"/>
      <c r="F15" s="110" t="s">
        <v>204</v>
      </c>
      <c r="G15" s="164">
        <v>40000</v>
      </c>
      <c r="L15" s="33">
        <f t="shared" si="0"/>
        <v>0</v>
      </c>
    </row>
    <row r="16" spans="1:12" ht="15.75">
      <c r="A16" s="30"/>
      <c r="F16" s="110" t="s">
        <v>205</v>
      </c>
      <c r="G16" s="164">
        <v>10000</v>
      </c>
      <c r="L16" s="33">
        <f t="shared" si="0"/>
        <v>0</v>
      </c>
    </row>
    <row r="17" spans="1:12">
      <c r="A17" s="30"/>
      <c r="F17" s="10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60" t="s">
        <v>22</v>
      </c>
      <c r="B39" s="161">
        <f>F39*G39*'Абонентский отдел'!$F$1+ПТО!H39*ПТО!I39*'Абонентский отдел'!$F$1</f>
        <v>229947.984</v>
      </c>
      <c r="C39" s="161" t="s">
        <v>67</v>
      </c>
      <c r="D39" s="162">
        <v>12</v>
      </c>
      <c r="E39" s="34"/>
      <c r="F39" s="31">
        <v>6.27</v>
      </c>
      <c r="G39" s="31">
        <v>4</v>
      </c>
      <c r="H39" s="31">
        <v>6.45</v>
      </c>
      <c r="I39" s="31">
        <v>8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229947.984</v>
      </c>
      <c r="O39" s="39" t="str">
        <f>C39</f>
        <v>Ежемесячно</v>
      </c>
      <c r="P39">
        <f>D39</f>
        <v>12</v>
      </c>
    </row>
    <row r="40" spans="1:16" ht="31.5" customHeight="1">
      <c r="A40" s="160"/>
      <c r="B40" s="161"/>
      <c r="C40" s="161"/>
      <c r="D40" s="162"/>
      <c r="E40" s="34"/>
      <c r="G40" s="31">
        <v>4</v>
      </c>
      <c r="I40" s="31">
        <v>8</v>
      </c>
      <c r="J40" s="36"/>
      <c r="L40" s="38">
        <f t="shared" ref="L40:L53" si="2">IF(A40&gt;0,"СОД",0)</f>
        <v>0</v>
      </c>
      <c r="M40">
        <f t="shared" ref="M40:M53" si="3">A40</f>
        <v>0</v>
      </c>
      <c r="N40" s="39">
        <f t="shared" ref="N40:N53" si="4">B40</f>
        <v>0</v>
      </c>
      <c r="O40" s="39">
        <f t="shared" ref="O40:O53" si="5">C40</f>
        <v>0</v>
      </c>
      <c r="P40">
        <f t="shared" ref="P40:P53" si="6">D40</f>
        <v>0</v>
      </c>
    </row>
    <row r="41" spans="1:16" ht="25.5">
      <c r="A41" s="160" t="s">
        <v>201</v>
      </c>
      <c r="B41" s="161">
        <f>F41*G41*'Абонентский отдел'!$F$1+ПТО!H41*ПТО!I41*'Абонентский отдел'!$F$1</f>
        <v>69572.160000000003</v>
      </c>
      <c r="C41" s="161" t="s">
        <v>68</v>
      </c>
      <c r="D41" s="162">
        <v>12</v>
      </c>
      <c r="E41" s="34"/>
      <c r="F41" s="31">
        <v>1.8</v>
      </c>
      <c r="G41" s="31">
        <v>4</v>
      </c>
      <c r="H41" s="31">
        <v>2</v>
      </c>
      <c r="I41" s="31">
        <v>8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69572.160000000003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60" t="s">
        <v>23</v>
      </c>
      <c r="B42" s="161">
        <f>F42*G42*'Абонентский отдел'!$F$1+ПТО!H42*ПТО!I42*'Абонентский отдел'!$F$1</f>
        <v>47980.799999999996</v>
      </c>
      <c r="C42" s="161" t="s">
        <v>67</v>
      </c>
      <c r="D42" s="162">
        <v>12</v>
      </c>
      <c r="E42" s="34"/>
      <c r="F42" s="31">
        <v>1.2</v>
      </c>
      <c r="G42" s="31">
        <v>4</v>
      </c>
      <c r="H42" s="31">
        <v>1.4</v>
      </c>
      <c r="I42" s="31">
        <v>8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47980.799999999996</v>
      </c>
      <c r="O42" s="39" t="str">
        <f t="shared" si="5"/>
        <v>Ежемесячно</v>
      </c>
      <c r="P42">
        <f t="shared" si="6"/>
        <v>12</v>
      </c>
    </row>
    <row r="43" spans="1:16" ht="15.75">
      <c r="A43" s="160" t="s">
        <v>202</v>
      </c>
      <c r="B43" s="161">
        <f>F43*G43*'Абонентский отдел'!$F$1+ПТО!H43*ПТО!I43*'Абонентский отдел'!$F$1</f>
        <v>6117.5520000000006</v>
      </c>
      <c r="C43" s="161" t="s">
        <v>67</v>
      </c>
      <c r="D43" s="162">
        <v>12</v>
      </c>
      <c r="E43" s="34"/>
      <c r="F43" s="119">
        <v>0.17</v>
      </c>
      <c r="G43" s="31">
        <v>4</v>
      </c>
      <c r="H43" s="119">
        <v>0.17</v>
      </c>
      <c r="I43" s="31">
        <v>8</v>
      </c>
      <c r="J43" s="36"/>
      <c r="L43" s="38" t="str">
        <f t="shared" si="2"/>
        <v>СОД</v>
      </c>
      <c r="M43" t="str">
        <f t="shared" si="3"/>
        <v>Техническое обслуживание охранной сигнализации</v>
      </c>
      <c r="N43" s="39">
        <f t="shared" si="4"/>
        <v>6117.5520000000006</v>
      </c>
      <c r="O43" s="39" t="str">
        <f t="shared" si="5"/>
        <v>Ежемесячно</v>
      </c>
      <c r="P43">
        <f t="shared" si="6"/>
        <v>12</v>
      </c>
    </row>
    <row r="44" spans="1:16" ht="25.5">
      <c r="A44" s="160" t="s">
        <v>24</v>
      </c>
      <c r="B44" s="161">
        <f>F44*G44*'Абонентский отдел'!$F$1+ПТО!H44*ПТО!I44*'Абонентский отдел'!$F$1</f>
        <v>16793.280000000002</v>
      </c>
      <c r="C44" s="161" t="s">
        <v>69</v>
      </c>
      <c r="D44" s="162">
        <v>12</v>
      </c>
      <c r="E44" s="34"/>
      <c r="F44" s="119">
        <v>0.4</v>
      </c>
      <c r="G44" s="31">
        <v>4</v>
      </c>
      <c r="H44" s="119">
        <v>0.5</v>
      </c>
      <c r="I44" s="31">
        <v>8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16793.280000000002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60" t="s">
        <v>25</v>
      </c>
      <c r="B45" s="161">
        <f>F45*G45*'Абонентский отдел'!$F$1+ПТО!H45*ПТО!I45*'Абонентский отдел'!$F$1</f>
        <v>103158.72000000002</v>
      </c>
      <c r="C45" s="161" t="s">
        <v>68</v>
      </c>
      <c r="D45" s="162">
        <v>12</v>
      </c>
      <c r="E45" s="34"/>
      <c r="F45" s="119">
        <v>2.6</v>
      </c>
      <c r="G45" s="31">
        <v>4</v>
      </c>
      <c r="H45" s="119">
        <v>3</v>
      </c>
      <c r="I45" s="31">
        <v>8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103158.72000000002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60" t="s">
        <v>173</v>
      </c>
      <c r="B46" s="161">
        <f>F46*G46*'Абонентский отдел'!$F$1+ПТО!H46*ПТО!I46*'Абонентский отдел'!$F$1</f>
        <v>75929.615999999995</v>
      </c>
      <c r="C46" s="161" t="s">
        <v>67</v>
      </c>
      <c r="D46" s="163">
        <v>12</v>
      </c>
      <c r="F46" s="119">
        <v>2.11</v>
      </c>
      <c r="G46" s="31">
        <v>4</v>
      </c>
      <c r="H46" s="119">
        <v>2.11</v>
      </c>
      <c r="I46" s="31">
        <v>8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75929.615999999995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5"/>
      <c r="C47" s="116"/>
      <c r="D47" s="46"/>
      <c r="E47" s="115"/>
      <c r="F47" s="115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za3huKlGWANRVy08rGJe3+hLyt3jD5mXznMPzvwpPgeVYlzKp9l1Wp1hqhQrRhsCFqaE+w3qgf+qV05Z1jUTqw==" saltValue="9UdKkLZTFKy4a5l8Pi25Y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7" zoomScale="85" zoomScaleNormal="85" workbookViewId="0">
      <selection activeCell="D33" sqref="D33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175</v>
      </c>
      <c r="F1" s="58">
        <v>2998.8</v>
      </c>
    </row>
    <row r="2" spans="1:10" ht="15.75" customHeight="1">
      <c r="A2" s="68" t="s">
        <v>80</v>
      </c>
      <c r="B2" s="70" t="s">
        <v>2</v>
      </c>
      <c r="C2" s="81">
        <v>110886.57</v>
      </c>
      <c r="D2" s="79" t="s">
        <v>57</v>
      </c>
      <c r="E2" s="59" t="s">
        <v>178</v>
      </c>
      <c r="F2" s="59" t="s">
        <v>180</v>
      </c>
      <c r="G2" s="59"/>
      <c r="H2" s="59"/>
      <c r="I2" s="59"/>
      <c r="J2" s="59"/>
    </row>
    <row r="3" spans="1:10" ht="15.75" customHeight="1">
      <c r="A3" s="68" t="s">
        <v>81</v>
      </c>
      <c r="B3" s="70" t="s">
        <v>3</v>
      </c>
      <c r="C3" s="77">
        <v>0</v>
      </c>
      <c r="D3" s="78" t="s">
        <v>58</v>
      </c>
      <c r="E3" s="59" t="s">
        <v>179</v>
      </c>
      <c r="F3" s="59" t="s">
        <v>180</v>
      </c>
      <c r="G3" s="59"/>
      <c r="H3" s="59"/>
      <c r="I3" s="59"/>
      <c r="J3" s="59"/>
    </row>
    <row r="4" spans="1:10" ht="15.75" customHeight="1">
      <c r="A4" s="68" t="s">
        <v>82</v>
      </c>
      <c r="B4" s="70" t="s">
        <v>4</v>
      </c>
      <c r="C4" s="81">
        <v>0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83</v>
      </c>
      <c r="B5" s="70" t="s">
        <v>5</v>
      </c>
      <c r="C5" s="77">
        <f>SUM(C6:C8)</f>
        <v>972104.26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84</v>
      </c>
      <c r="B6" s="70" t="s">
        <v>6</v>
      </c>
      <c r="C6" s="81">
        <v>603371.78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85</v>
      </c>
      <c r="B7" s="70" t="s">
        <v>7</v>
      </c>
      <c r="C7" s="81">
        <f>F1*5*12</f>
        <v>179928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86</v>
      </c>
      <c r="B8" s="70" t="s">
        <v>8</v>
      </c>
      <c r="C8" s="81">
        <v>188804.48000000001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87</v>
      </c>
      <c r="B9" s="70" t="s">
        <v>9</v>
      </c>
      <c r="C9" s="77">
        <f>SUM(C10:C14)</f>
        <v>943388.97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88</v>
      </c>
      <c r="B10" s="70" t="s">
        <v>10</v>
      </c>
      <c r="C10" s="81">
        <v>943388.97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89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90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91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92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93</v>
      </c>
      <c r="B15" s="70" t="s">
        <v>15</v>
      </c>
      <c r="C15" s="77">
        <f>C9</f>
        <v>943388.97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94</v>
      </c>
      <c r="B16" s="70" t="s">
        <v>16</v>
      </c>
      <c r="C16" s="77">
        <f>IF(C2&gt;0,IF(C2+C9-C5&gt;0,C2+C9-C5,0),IF(C9-C5&gt;0,IF(C4+C5-C9&gt;0,0,C9-C5-C4),0))</f>
        <v>82171.280000000028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95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96</v>
      </c>
      <c r="B18" s="70" t="s">
        <v>18</v>
      </c>
      <c r="C18" s="77">
        <f>IF(C16&gt;0,0,IF(C4&gt;0,C4+C5-C9,C5-C2-C9))</f>
        <v>0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159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97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200"/>
      <c r="N20" s="60"/>
    </row>
    <row r="21" spans="1:15" ht="15.75" customHeight="1">
      <c r="A21" s="68" t="s">
        <v>98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200"/>
      <c r="N21" s="60"/>
    </row>
    <row r="22" spans="1:15" ht="15.75" customHeight="1">
      <c r="A22" s="68" t="s">
        <v>99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200"/>
      <c r="N22" s="60"/>
    </row>
    <row r="23" spans="1:15" ht="15.75" customHeight="1">
      <c r="A23" s="68" t="s">
        <v>100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200"/>
      <c r="N23" s="60"/>
    </row>
    <row r="24" spans="1:15" ht="18.75">
      <c r="A24" s="71" t="s">
        <v>160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101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199"/>
      <c r="N25" s="61"/>
    </row>
    <row r="26" spans="1:15" ht="18.75" customHeight="1">
      <c r="A26" s="68" t="s">
        <v>102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199"/>
      <c r="N26" s="61"/>
    </row>
    <row r="27" spans="1:15" ht="18.75" customHeight="1">
      <c r="A27" s="68" t="s">
        <v>103</v>
      </c>
      <c r="B27" s="73" t="s">
        <v>4</v>
      </c>
      <c r="C27" s="84">
        <v>135793.89000000001</v>
      </c>
      <c r="D27" s="79" t="s">
        <v>59</v>
      </c>
      <c r="E27" s="62"/>
      <c r="F27" s="62"/>
      <c r="G27" s="62"/>
      <c r="H27" s="62"/>
      <c r="I27" s="62"/>
      <c r="J27" s="62"/>
      <c r="M27" s="199"/>
      <c r="N27" s="61"/>
    </row>
    <row r="28" spans="1:15" ht="18.75" customHeight="1">
      <c r="A28" s="68" t="s">
        <v>104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199"/>
      <c r="N28" s="61"/>
    </row>
    <row r="29" spans="1:15" ht="18.75" customHeight="1">
      <c r="A29" s="68" t="s">
        <v>105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199"/>
      <c r="N29" s="61"/>
    </row>
    <row r="30" spans="1:15" ht="18.75" customHeight="1">
      <c r="A30" s="68" t="s">
        <v>106</v>
      </c>
      <c r="B30" s="73" t="s">
        <v>18</v>
      </c>
      <c r="C30" s="84">
        <v>138045.72</v>
      </c>
      <c r="D30" s="79" t="s">
        <v>65</v>
      </c>
      <c r="E30" s="62"/>
      <c r="F30" s="62"/>
      <c r="G30" s="62"/>
      <c r="H30" s="62"/>
      <c r="I30" s="62"/>
      <c r="J30" s="62"/>
      <c r="M30" s="199"/>
      <c r="N30" s="61"/>
    </row>
    <row r="31" spans="1:15" ht="18.75" customHeight="1">
      <c r="A31" s="68" t="s">
        <v>107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199"/>
      <c r="N31" s="61"/>
    </row>
    <row r="32" spans="1:15" ht="18.75" customHeight="1">
      <c r="A32" s="68" t="s">
        <v>108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199"/>
      <c r="N32" s="61"/>
    </row>
    <row r="33" spans="1:15" ht="18.75" customHeight="1">
      <c r="A33" s="68" t="s">
        <v>109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199"/>
      <c r="N33" s="61"/>
    </row>
    <row r="34" spans="1:15" ht="18.75" customHeight="1">
      <c r="A34" s="68" t="s">
        <v>110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199"/>
      <c r="N34" s="61"/>
    </row>
    <row r="35" spans="1:15" ht="18.75" hidden="1">
      <c r="A35" s="71" t="s">
        <v>161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 hidden="1">
      <c r="A36" s="71" t="s">
        <v>162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118</v>
      </c>
      <c r="B37" s="75" t="s">
        <v>52</v>
      </c>
      <c r="C37" s="94">
        <f>IF(E37&gt;0,"Предоставляется",0)</f>
        <v>0</v>
      </c>
      <c r="D37" s="94" t="s">
        <v>51</v>
      </c>
      <c r="E37" s="93"/>
      <c r="F37" s="92" t="s">
        <v>165</v>
      </c>
      <c r="G37" s="64"/>
      <c r="H37" s="64"/>
      <c r="I37" s="64"/>
      <c r="L37" s="61"/>
      <c r="M37" s="198"/>
      <c r="N37" s="61"/>
      <c r="O37" s="61"/>
    </row>
    <row r="38" spans="1:15" ht="18.75" hidden="1" customHeight="1">
      <c r="A38" s="68" t="s">
        <v>111</v>
      </c>
      <c r="B38" s="76" t="s">
        <v>36</v>
      </c>
      <c r="C38" s="88"/>
      <c r="D38" s="92" t="s">
        <v>163</v>
      </c>
      <c r="E38" s="66"/>
      <c r="G38" s="65"/>
      <c r="H38" s="65"/>
      <c r="L38" s="61"/>
      <c r="M38" s="198"/>
      <c r="N38" s="61"/>
      <c r="O38" s="61"/>
    </row>
    <row r="39" spans="1:15" ht="18.75" hidden="1" customHeight="1">
      <c r="A39" s="68" t="s">
        <v>112</v>
      </c>
      <c r="B39" s="76" t="s">
        <v>37</v>
      </c>
      <c r="C39" s="89"/>
      <c r="D39" s="92" t="s">
        <v>164</v>
      </c>
      <c r="E39" s="66"/>
      <c r="G39" s="65"/>
      <c r="H39" s="65"/>
      <c r="L39" s="61"/>
      <c r="M39" s="198"/>
      <c r="N39" s="61"/>
      <c r="O39" s="61"/>
    </row>
    <row r="40" spans="1:15" ht="18.75" hidden="1" customHeight="1">
      <c r="A40" s="68" t="s">
        <v>113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198"/>
      <c r="N40" s="61"/>
      <c r="O40" s="61"/>
    </row>
    <row r="41" spans="1:15" ht="18.75" hidden="1" customHeight="1">
      <c r="A41" s="68" t="s">
        <v>114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198"/>
      <c r="N41" s="61"/>
      <c r="O41" s="61"/>
    </row>
    <row r="42" spans="1:15" ht="18.75" hidden="1" customHeight="1">
      <c r="A42" s="68" t="s">
        <v>115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198"/>
      <c r="N42" s="61"/>
      <c r="O42" s="61"/>
    </row>
    <row r="43" spans="1:15" ht="18.75" hidden="1" customHeight="1">
      <c r="A43" s="68" t="s">
        <v>116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198"/>
      <c r="N43" s="61"/>
      <c r="O43" s="61"/>
    </row>
    <row r="44" spans="1:15" ht="30" hidden="1" customHeight="1">
      <c r="A44" s="68" t="s">
        <v>117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198"/>
      <c r="N44" s="61"/>
      <c r="O44" s="61"/>
    </row>
    <row r="45" spans="1:15" ht="18.75" hidden="1">
      <c r="A45" s="71" t="s">
        <v>119</v>
      </c>
      <c r="B45" s="75" t="s">
        <v>53</v>
      </c>
      <c r="C45" s="94">
        <f>IF(E45&gt;0,"Предоставляется",0)</f>
        <v>0</v>
      </c>
      <c r="D45" s="94" t="s">
        <v>54</v>
      </c>
      <c r="E45" s="93"/>
      <c r="F45" s="92" t="s">
        <v>165</v>
      </c>
      <c r="G45" s="64"/>
      <c r="H45" s="64"/>
      <c r="L45" s="61"/>
      <c r="M45" s="198"/>
      <c r="N45" s="61"/>
      <c r="O45" s="61"/>
    </row>
    <row r="46" spans="1:15" ht="18.75" hidden="1" customHeight="1">
      <c r="A46" s="71" t="s">
        <v>120</v>
      </c>
      <c r="B46" s="76" t="s">
        <v>36</v>
      </c>
      <c r="C46" s="88"/>
      <c r="D46" s="92" t="s">
        <v>166</v>
      </c>
      <c r="E46" s="66"/>
      <c r="G46" s="65"/>
      <c r="H46" s="65"/>
      <c r="L46" s="61"/>
      <c r="M46" s="198"/>
      <c r="N46" s="61"/>
      <c r="O46" s="61"/>
    </row>
    <row r="47" spans="1:15" ht="18.75" hidden="1" customHeight="1">
      <c r="A47" s="71" t="s">
        <v>121</v>
      </c>
      <c r="B47" s="76" t="s">
        <v>37</v>
      </c>
      <c r="C47" s="89"/>
      <c r="D47" s="92" t="s">
        <v>164</v>
      </c>
      <c r="E47" s="66"/>
      <c r="G47" s="65"/>
      <c r="H47" s="65"/>
      <c r="L47" s="61"/>
      <c r="M47" s="198"/>
      <c r="N47" s="61"/>
      <c r="O47" s="61"/>
    </row>
    <row r="48" spans="1:15" ht="18.75" hidden="1" customHeight="1">
      <c r="A48" s="71" t="s">
        <v>122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198"/>
      <c r="N48" s="61"/>
      <c r="O48" s="61"/>
    </row>
    <row r="49" spans="1:15" ht="18.75" hidden="1" customHeight="1">
      <c r="A49" s="71" t="s">
        <v>123</v>
      </c>
      <c r="B49" s="76" t="s">
        <v>39</v>
      </c>
      <c r="C49" s="91">
        <f>E45</f>
        <v>0</v>
      </c>
      <c r="D49" s="78" t="s">
        <v>58</v>
      </c>
      <c r="E49" s="66"/>
      <c r="G49" s="65"/>
      <c r="H49" s="65"/>
      <c r="L49" s="61"/>
      <c r="M49" s="198"/>
      <c r="N49" s="61"/>
      <c r="O49" s="61"/>
    </row>
    <row r="50" spans="1:15" ht="18.75" hidden="1" customHeight="1">
      <c r="A50" s="71" t="s">
        <v>124</v>
      </c>
      <c r="B50" s="76" t="s">
        <v>40</v>
      </c>
      <c r="C50" s="91">
        <f>E45</f>
        <v>0</v>
      </c>
      <c r="D50" s="78" t="s">
        <v>58</v>
      </c>
      <c r="E50" s="66"/>
      <c r="G50" s="65"/>
      <c r="H50" s="65"/>
      <c r="L50" s="61"/>
      <c r="M50" s="198"/>
      <c r="N50" s="61"/>
      <c r="O50" s="61"/>
    </row>
    <row r="51" spans="1:15" ht="18.75" hidden="1" customHeight="1">
      <c r="A51" s="71" t="s">
        <v>125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198"/>
      <c r="N51" s="61"/>
      <c r="O51" s="61"/>
    </row>
    <row r="52" spans="1:15" ht="29.25" hidden="1" customHeight="1">
      <c r="A52" s="71" t="s">
        <v>126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198"/>
      <c r="N52" s="61"/>
      <c r="O52" s="61"/>
    </row>
    <row r="53" spans="1:15" ht="18.75" hidden="1">
      <c r="A53" s="71" t="s">
        <v>127</v>
      </c>
      <c r="B53" s="75" t="s">
        <v>55</v>
      </c>
      <c r="C53" s="94">
        <f>IF(E53&gt;0,"Предоставляется",0)</f>
        <v>0</v>
      </c>
      <c r="D53" s="94" t="s">
        <v>54</v>
      </c>
      <c r="E53" s="93"/>
      <c r="F53" s="92" t="s">
        <v>165</v>
      </c>
      <c r="G53" s="64"/>
      <c r="H53" s="64"/>
      <c r="L53" s="61"/>
      <c r="M53" s="198"/>
      <c r="N53" s="61"/>
      <c r="O53" s="61"/>
    </row>
    <row r="54" spans="1:15" ht="18.75" hidden="1" customHeight="1">
      <c r="A54" s="71" t="s">
        <v>128</v>
      </c>
      <c r="B54" s="73" t="s">
        <v>36</v>
      </c>
      <c r="C54" s="96"/>
      <c r="D54" s="92" t="s">
        <v>166</v>
      </c>
      <c r="E54" s="67"/>
      <c r="F54" s="87"/>
      <c r="G54" s="62"/>
      <c r="H54" s="62"/>
      <c r="L54" s="61"/>
      <c r="M54" s="198"/>
      <c r="N54" s="61"/>
      <c r="O54" s="61"/>
    </row>
    <row r="55" spans="1:15" ht="18.75" hidden="1" customHeight="1">
      <c r="A55" s="71" t="s">
        <v>129</v>
      </c>
      <c r="B55" s="73" t="s">
        <v>37</v>
      </c>
      <c r="C55" s="84"/>
      <c r="D55" s="92" t="s">
        <v>164</v>
      </c>
      <c r="E55" s="67"/>
      <c r="G55" s="62"/>
      <c r="H55" s="62"/>
      <c r="L55" s="61"/>
      <c r="M55" s="198"/>
      <c r="N55" s="61"/>
      <c r="O55" s="61"/>
    </row>
    <row r="56" spans="1:15" ht="18.75" hidden="1" customHeight="1">
      <c r="A56" s="71" t="s">
        <v>130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198"/>
      <c r="N56" s="61"/>
      <c r="O56" s="61"/>
    </row>
    <row r="57" spans="1:15" ht="18.75" hidden="1" customHeight="1">
      <c r="A57" s="71" t="s">
        <v>131</v>
      </c>
      <c r="B57" s="73" t="s">
        <v>39</v>
      </c>
      <c r="C57" s="91">
        <f>E53</f>
        <v>0</v>
      </c>
      <c r="D57" s="78" t="s">
        <v>58</v>
      </c>
      <c r="E57" s="67"/>
      <c r="G57" s="62"/>
      <c r="H57" s="62"/>
      <c r="L57" s="61"/>
      <c r="M57" s="198"/>
      <c r="N57" s="61"/>
      <c r="O57" s="61"/>
    </row>
    <row r="58" spans="1:15" ht="18.75" hidden="1" customHeight="1">
      <c r="A58" s="71" t="s">
        <v>132</v>
      </c>
      <c r="B58" s="73" t="s">
        <v>40</v>
      </c>
      <c r="C58" s="91">
        <f>E53</f>
        <v>0</v>
      </c>
      <c r="D58" s="78" t="s">
        <v>58</v>
      </c>
      <c r="E58" s="67"/>
      <c r="G58" s="62"/>
      <c r="H58" s="62"/>
      <c r="L58" s="61"/>
      <c r="M58" s="198"/>
      <c r="N58" s="61"/>
      <c r="O58" s="61"/>
    </row>
    <row r="59" spans="1:15" ht="18.75" hidden="1" customHeight="1">
      <c r="A59" s="71" t="s">
        <v>133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198"/>
      <c r="N59" s="61"/>
      <c r="O59" s="61"/>
    </row>
    <row r="60" spans="1:15" ht="33.75" hidden="1" customHeight="1">
      <c r="A60" s="71" t="s">
        <v>134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198"/>
      <c r="N60" s="61"/>
      <c r="O60" s="61"/>
    </row>
    <row r="61" spans="1:15" ht="15.75" hidden="1">
      <c r="A61" s="71" t="s">
        <v>135</v>
      </c>
      <c r="B61" s="75" t="s">
        <v>76</v>
      </c>
      <c r="C61" s="94">
        <f>IF(E61&gt;0,"Предоставляется",0)</f>
        <v>0</v>
      </c>
      <c r="D61" s="94" t="s">
        <v>54</v>
      </c>
      <c r="E61" s="93"/>
      <c r="F61" s="92" t="s">
        <v>165</v>
      </c>
      <c r="G61" s="64"/>
      <c r="H61" s="64"/>
    </row>
    <row r="62" spans="1:15" ht="15.75" hidden="1" customHeight="1">
      <c r="A62" s="71" t="s">
        <v>136</v>
      </c>
      <c r="B62" s="73" t="s">
        <v>36</v>
      </c>
      <c r="C62" s="96"/>
      <c r="D62" s="92" t="s">
        <v>166</v>
      </c>
      <c r="E62" s="67"/>
      <c r="G62" s="62"/>
      <c r="H62" s="62"/>
    </row>
    <row r="63" spans="1:15" ht="15.75" hidden="1" customHeight="1">
      <c r="A63" s="71" t="s">
        <v>137</v>
      </c>
      <c r="B63" s="73" t="s">
        <v>37</v>
      </c>
      <c r="C63" s="84"/>
      <c r="D63" s="92" t="s">
        <v>164</v>
      </c>
      <c r="E63" s="67"/>
      <c r="G63" s="62"/>
      <c r="H63" s="62"/>
    </row>
    <row r="64" spans="1:15" ht="15.75" hidden="1" customHeight="1">
      <c r="A64" s="71" t="s">
        <v>138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hidden="1" customHeight="1">
      <c r="A65" s="71" t="s">
        <v>139</v>
      </c>
      <c r="B65" s="73" t="s">
        <v>39</v>
      </c>
      <c r="C65" s="91">
        <f>E61</f>
        <v>0</v>
      </c>
      <c r="D65" s="78" t="s">
        <v>58</v>
      </c>
      <c r="E65" s="67"/>
      <c r="G65" s="62"/>
      <c r="H65" s="62"/>
    </row>
    <row r="66" spans="1:8" ht="15.75" hidden="1" customHeight="1">
      <c r="A66" s="71" t="s">
        <v>140</v>
      </c>
      <c r="B66" s="73" t="s">
        <v>40</v>
      </c>
      <c r="C66" s="91">
        <f>E61</f>
        <v>0</v>
      </c>
      <c r="D66" s="78" t="s">
        <v>58</v>
      </c>
      <c r="E66" s="67"/>
      <c r="G66" s="62"/>
      <c r="H66" s="62"/>
    </row>
    <row r="67" spans="1:8" ht="15.75" hidden="1" customHeight="1">
      <c r="A67" s="71" t="s">
        <v>141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hidden="1" customHeight="1">
      <c r="A68" s="71" t="s">
        <v>142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 hidden="1">
      <c r="A69" s="71" t="s">
        <v>143</v>
      </c>
      <c r="B69" s="75" t="s">
        <v>77</v>
      </c>
      <c r="C69" s="94">
        <f>IF(E69&gt;0,"Предоставляется",0)</f>
        <v>0</v>
      </c>
      <c r="D69" s="94" t="s">
        <v>54</v>
      </c>
      <c r="E69" s="93"/>
      <c r="F69" s="92" t="s">
        <v>165</v>
      </c>
      <c r="G69" s="64"/>
      <c r="H69" s="64"/>
    </row>
    <row r="70" spans="1:8" ht="15.75" hidden="1" customHeight="1">
      <c r="A70" s="71" t="s">
        <v>144</v>
      </c>
      <c r="B70" s="73" t="s">
        <v>36</v>
      </c>
      <c r="C70" s="96"/>
      <c r="D70" s="92" t="s">
        <v>166</v>
      </c>
      <c r="E70" s="67"/>
      <c r="G70" s="62"/>
      <c r="H70" s="62"/>
    </row>
    <row r="71" spans="1:8" ht="15.75" hidden="1" customHeight="1">
      <c r="A71" s="71" t="s">
        <v>145</v>
      </c>
      <c r="B71" s="73" t="s">
        <v>37</v>
      </c>
      <c r="C71" s="84"/>
      <c r="D71" s="92" t="s">
        <v>164</v>
      </c>
      <c r="E71" s="67"/>
      <c r="G71" s="62"/>
      <c r="H71" s="62"/>
    </row>
    <row r="72" spans="1:8" ht="15.75" hidden="1" customHeight="1">
      <c r="A72" s="71" t="s">
        <v>146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hidden="1" customHeight="1">
      <c r="A73" s="71" t="s">
        <v>147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hidden="1" customHeight="1">
      <c r="A74" s="71" t="s">
        <v>148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hidden="1" customHeight="1">
      <c r="A75" s="71" t="s">
        <v>149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hidden="1" customHeight="1">
      <c r="A76" s="71" t="s">
        <v>150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 hidden="1">
      <c r="A77" s="71" t="s">
        <v>151</v>
      </c>
      <c r="B77" s="75" t="s">
        <v>78</v>
      </c>
      <c r="C77" s="94">
        <f>IF(E77&gt;0,"Предоставляется",0)</f>
        <v>0</v>
      </c>
      <c r="D77" s="94" t="s">
        <v>79</v>
      </c>
      <c r="E77" s="93"/>
      <c r="F77" s="92" t="s">
        <v>165</v>
      </c>
      <c r="G77" s="64"/>
      <c r="H77" s="64"/>
    </row>
    <row r="78" spans="1:8" ht="15.75" hidden="1" customHeight="1">
      <c r="A78" s="71" t="s">
        <v>152</v>
      </c>
      <c r="B78" s="73" t="s">
        <v>36</v>
      </c>
      <c r="C78" s="96"/>
      <c r="D78" s="92" t="s">
        <v>167</v>
      </c>
      <c r="E78" s="62"/>
      <c r="G78" s="62"/>
      <c r="H78" s="62"/>
    </row>
    <row r="79" spans="1:8" ht="15.75" hidden="1" customHeight="1">
      <c r="A79" s="71" t="s">
        <v>153</v>
      </c>
      <c r="B79" s="73" t="s">
        <v>37</v>
      </c>
      <c r="C79" s="84"/>
      <c r="D79" s="92" t="s">
        <v>164</v>
      </c>
      <c r="E79" s="62"/>
      <c r="G79" s="62"/>
      <c r="H79" s="62"/>
    </row>
    <row r="80" spans="1:8" ht="15.75" hidden="1" customHeight="1">
      <c r="A80" s="71" t="s">
        <v>154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hidden="1" customHeight="1">
      <c r="A81" s="71" t="s">
        <v>155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hidden="1" customHeight="1">
      <c r="A82" s="71" t="s">
        <v>156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hidden="1" customHeight="1">
      <c r="A83" s="71" t="s">
        <v>157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hidden="1" customHeight="1">
      <c r="A84" s="71" t="s">
        <v>158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algorithmName="SHA-512" hashValue="fE6setuI46SkCgC3JXUW9mphJ2V/sqbE8MORonPs68pLKa2+MjjD77SWgn/9G5G3RnerD4uWMwj6RmAtSy4nxQ==" saltValue="7QGL+ZNdGSRmsQ8xX6YWJ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2" sqref="C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168</v>
      </c>
      <c r="B2" s="57" t="s">
        <v>44</v>
      </c>
      <c r="C2" s="103"/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169</v>
      </c>
      <c r="B3" s="57" t="s">
        <v>45</v>
      </c>
      <c r="C3" s="103"/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170</v>
      </c>
      <c r="B4" s="57" t="s">
        <v>46</v>
      </c>
      <c r="C4" s="104"/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2025-03-12T00:36:58Z</dcterms:modified>
</cp:coreProperties>
</file>