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6" i="2" l="1"/>
  <c r="B45" i="2"/>
  <c r="B44" i="2"/>
  <c r="B42" i="2"/>
  <c r="B41" i="2"/>
  <c r="B39" i="2"/>
  <c r="C7" i="3" l="1"/>
  <c r="G1" i="2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3" i="1"/>
  <c r="A111" i="1"/>
  <c r="G110" i="1"/>
  <c r="A110" i="1"/>
  <c r="J109" i="1"/>
  <c r="J104" i="1"/>
  <c r="J103" i="1"/>
  <c r="G102" i="1"/>
  <c r="F102" i="1"/>
  <c r="J101" i="1"/>
  <c r="J96" i="1"/>
  <c r="J95" i="1"/>
  <c r="A95" i="1"/>
  <c r="G94" i="1"/>
  <c r="K94" i="1"/>
  <c r="A117" i="1" l="1"/>
  <c r="A105" i="1"/>
  <c r="A109" i="1"/>
  <c r="F118" i="1"/>
  <c r="F110" i="1"/>
  <c r="A114" i="1"/>
  <c r="A122" i="1"/>
  <c r="F134" i="1"/>
  <c r="A141" i="1"/>
  <c r="A137" i="1"/>
  <c r="A123" i="1"/>
  <c r="A119" i="1"/>
  <c r="A125" i="1"/>
  <c r="A118" i="1"/>
  <c r="A121" i="1"/>
  <c r="D110" i="1"/>
  <c r="A112" i="1"/>
  <c r="A94" i="1"/>
  <c r="A96" i="1"/>
  <c r="D94" i="1"/>
  <c r="A99" i="1"/>
  <c r="A100" i="1"/>
  <c r="F94" i="1"/>
  <c r="A101" i="1"/>
  <c r="A102" i="1"/>
  <c r="A107" i="1"/>
  <c r="A134" i="1"/>
  <c r="A135" i="1"/>
  <c r="A139" i="1"/>
  <c r="A106" i="1"/>
  <c r="A138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6" i="1" l="1"/>
  <c r="H173" i="1"/>
  <c r="F181" i="1"/>
  <c r="F187" i="1"/>
  <c r="F165" i="1"/>
  <c r="F177" i="1"/>
  <c r="F175" i="1"/>
  <c r="H187" i="1"/>
  <c r="H182" i="1"/>
  <c r="H183" i="1"/>
  <c r="H175" i="1"/>
  <c r="H172" i="1"/>
  <c r="F178" i="1"/>
  <c r="F173" i="1"/>
  <c r="F179" i="1"/>
  <c r="F172" i="1"/>
  <c r="H167" i="1"/>
  <c r="F167" i="1"/>
  <c r="F180" i="1"/>
  <c r="H186" i="1"/>
  <c r="H180" i="1"/>
  <c r="F174" i="1"/>
  <c r="H174" i="1"/>
  <c r="F183" i="1"/>
  <c r="H164" i="1"/>
  <c r="F176" i="1"/>
  <c r="F184" i="1"/>
  <c r="F168" i="1"/>
  <c r="H176" i="1"/>
  <c r="H178" i="1"/>
  <c r="H168" i="1"/>
  <c r="H184" i="1"/>
  <c r="F185" i="1"/>
  <c r="F170" i="1"/>
  <c r="H165" i="1"/>
  <c r="F164" i="1"/>
  <c r="H170" i="1"/>
  <c r="F186" i="1"/>
  <c r="H177" i="1"/>
  <c r="F182" i="1"/>
  <c r="H179" i="1"/>
  <c r="H169" i="1"/>
  <c r="F169" i="1"/>
  <c r="F171" i="1"/>
  <c r="H171" i="1"/>
  <c r="H185" i="1"/>
  <c r="H181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<sst xmlns="http://schemas.openxmlformats.org/spreadsheetml/2006/main" count="560" uniqueCount="209">
  <si>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</si>
  <si>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</si>
  <si>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</si>
  <si>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</si>
  <si>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</si>
  <si>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</si>
  <si>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</si>
  <si>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</si>
  <si>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</si>
  <si>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</si>
  <si>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</si>
  <si>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</si>
  <si>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</si>
  <si>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</si>
  <si>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</si>
  <si>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</si>
  <si>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</si>
  <si>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</si>
  <si>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</si>
  <si>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</si>
  <si>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</si>
  <si>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</si>
  <si>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</si>
  <si>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</si>
  <si>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</si>
  <si>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</si>
  <si>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</si>
  <si>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</si>
  <si>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</si>
  <si>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</si>
  <si>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</si>
  <si>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</si>
  <si>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</si>
  <si>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</si>
  <si>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</si>
  <si>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</si>
  <si>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</si>
  <si>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</si>
  <si>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</si>
  <si>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</si>
  <si>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</si>
  <si>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</si>
  <si>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</si>
  <si>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</si>
  <si>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</si>
  <si>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</si>
  <si>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</si>
  <si>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</si>
  <si>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</si>
  <si>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</si>
  <si>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</si>
  <si>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</si>
  <si>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</si>
  <si>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</si>
  <si>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</si>
  <si>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</si>
  <si>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</si>
  <si>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</si>
  <si>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</si>
  <si>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</si>
  <si>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</si>
  <si>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</si>
  <si>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</si>
  <si>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</si>
  <si>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</si>
  <si>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</si>
  <si>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</si>
  <si>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</si>
  <si>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</si>
  <si>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</si>
  <si>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</si>
  <si>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</si>
  <si>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</si>
  <si>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</si>
  <si>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</si>
  <si>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</si>
  <si>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</si>
  <si>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</si>
  <si>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</si>
  <si>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</si>
  <si>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</si>
  <si>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</si>
  <si>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</si>
  <si>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</si>
  <si>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</si>
  <si>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</si>
  <si>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</si>
  <si>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</si>
  <si>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</si>
  <si>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</si>
  <si>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</si>
  <si>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</si>
  <si>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</si>
  <si>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</si>
  <si>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</si>
  <si>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</si>
  <si>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</si>
  <si>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</si>
  <si>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</si>
  <si>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</si>
  <si>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</si>
  <si>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</si>
  <si>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</si>
  <si>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</si>
  <si>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</si>
  <si>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</si>
  <si>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</si>
  <si>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</si>
  <si>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</si>
  <si>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</si>
  <si>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</si>
  <si>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</si>
  <si>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</si>
  <si>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</si>
  <si>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</si>
  <si>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</si>
  <si>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</si>
  <si>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</si>
  <si>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</si>
  <si>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</si>
  <si>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</si>
  <si>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</si>
  <si>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</si>
  <si>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</si>
  <si>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</si>
  <si>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</si>
  <si>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</si>
  <si>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</si>
  <si>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</si>
  <si>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</si>
  <si>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</si>
  <si>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</si>
  <si>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</si>
  <si>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</si>
  <si>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</si>
  <si>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</si>
  <si>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</si>
  <si>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</si>
  <si>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</si>
  <si>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</si>
  <si>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</si>
  <si>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</si>
  <si>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</si>
  <si>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</si>
  <si>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</si>
  <si>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</si>
  <si>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</si>
  <si>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</si>
  <si>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</si>
  <si>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</si>
  <si>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</si>
  <si>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</si>
  <si>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</si>
  <si>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</si>
  <si>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</si>
  <si>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</si>
  <si>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</si>
  <si>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</si>
  <si>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</si>
  <si>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</si>
  <si>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</si>
  <si>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</si>
  <si>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</si>
  <si>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</si>
  <si>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</si>
  <si>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</si>
  <si>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</si>
  <si>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</si>
  <si>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</si>
  <si>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</si>
  <si>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</si>
  <si>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</si>
  <si>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</si>
  <si>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33/6</t>
  </si>
  <si>
    <t>Отчет об исполнении договора управления многоквартирного дома 
Первомайский, 33/6 в части текущего ремонта</t>
  </si>
  <si>
    <t>площадь дома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</si>
  <si>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</si>
  <si>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</si>
  <si>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</si>
  <si>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</si>
  <si>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Промышленная очистка кровли от снега (957 м2).</t>
  </si>
  <si>
    <t>тариф 4,74</t>
  </si>
  <si>
    <t>с 01.12.2023 на осн. Протокола №1 от 20.08.2023</t>
  </si>
  <si>
    <t>лифт</t>
  </si>
  <si>
    <t>в содержании с 01.12.2023</t>
  </si>
  <si>
    <t xml:space="preserve">  -  очистка кровли от снега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</si>
  <si>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</si>
  <si>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</si>
  <si>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</si>
  <si>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</si>
  <si>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</si>
  <si>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в содержании с 01.12.2023 лифты</t>
  </si>
  <si>
    <t>АВР 1/24 от 20.02.2024, Решение</t>
  </si>
  <si>
    <t>АВР 2/24 от 21.02.2024, Решение</t>
  </si>
  <si>
    <t>АВР 3/24 от 01.03.2024, Решение</t>
  </si>
  <si>
    <t>Приобретение и замена ручки на тамбурной двери (1 подъезд).</t>
  </si>
  <si>
    <t>Приобретение и установка фиксаторов на тамбурной двери (1 и 2 подъезды).</t>
  </si>
  <si>
    <t>АВР 4/24 от 06.03.2023, Решение</t>
  </si>
  <si>
    <t>Ремонт регистратора, настройка камер и замена блока питания системы видеонаблюдения.</t>
  </si>
  <si>
    <t>АВР 5/24 от 01.04.2024, Решение, счет №9 от 29.03.2024</t>
  </si>
  <si>
    <t>Замена блока питания прибора учета тепловой энергии.</t>
  </si>
  <si>
    <t>АВР 6/24 от 04.06.2024, Решение, счет №185 от 21.05.2024</t>
  </si>
  <si>
    <t>Приобретение и замена кранов в ИТП на сбросники.</t>
  </si>
  <si>
    <t>АВР 7/24 от 01.07.2024, Решение</t>
  </si>
  <si>
    <t xml:space="preserve">Работы по содержанию земельного участка </t>
  </si>
  <si>
    <t xml:space="preserve">  -  замена крана шарового приварного в ИТП</t>
  </si>
  <si>
    <t xml:space="preserve">  -  устройство греющего кабеля на кровле </t>
  </si>
  <si>
    <t xml:space="preserve">  -  устройство снегоуловителей на кровле</t>
  </si>
  <si>
    <t xml:space="preserve">  -  ремонт подъезда (частичная укладка керамогранита на пол)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</si>
</sst>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9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0" fontId="15" fillId="0" borderId="0" xfId="5" applyFill="1" applyBorder="1" applyAlignment="1">
      <alignment horizontal="center"/>
    </xf>
    <xf numFmtId="0" fontId="29" fillId="0" borderId="0" xfId="5" applyFont="1" applyFill="1" applyBorder="1" applyAlignment="1"/>
    <xf numFmtId="4" fontId="15" fillId="0" borderId="0" xfId="5" applyNumberFormat="1" applyFill="1" applyBorder="1" applyAlignment="1"/>
    <xf numFmtId="4" fontId="21" fillId="0" borderId="0" xfId="0" applyNumberFormat="1" applyFont="1" applyBorder="1"/>
    <xf numFmtId="0" fontId="1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31" fillId="3" borderId="0" xfId="6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4" fontId="21" fillId="0" borderId="0" xfId="0" applyNumberFormat="1" applyFont="1" applyFill="1" applyBorder="1"/>
    <xf numFmtId="0" fontId="16" fillId="0" borderId="0" xfId="4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21" fillId="4" borderId="0" xfId="0" applyNumberFormat="1" applyFont="1" applyFill="1" applyBorder="1" applyAlignment="1" applyProtection="1">
      <alignment wrapText="1"/>
      <protection locked="0"/>
    </xf>
    <xf numFmtId="0" fontId="21" fillId="6" borderId="0" xfId="0" applyFont="1" applyFill="1" applyBorder="1" applyAlignment="1" applyProtection="1">
      <alignment wrapText="1"/>
      <protection locked="0"/>
    </xf>
    <xf numFmtId="0" fontId="21" fillId="4" borderId="0" xfId="0" applyFont="1" applyFill="1" applyBorder="1" applyAlignment="1" applyProtection="1">
      <alignment wrapText="1"/>
      <protection locked="0"/>
    </xf>
    <xf numFmtId="0" fontId="29" fillId="6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10" applyFont="1" applyFill="1" applyBorder="1"/>
    <xf numFmtId="0" fontId="32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vertical="center" wrapText="1"/>
    </xf>
    <xf numFmtId="0" fontId="11" fillId="0" borderId="1" xfId="10" applyFont="1" applyFill="1" applyBorder="1" applyAlignment="1"/>
    <xf numFmtId="0" fontId="12" fillId="0" borderId="1" xfId="10" applyFont="1" applyFill="1" applyBorder="1" applyAlignment="1">
      <alignment horizontal="center"/>
    </xf>
    <xf numFmtId="0" fontId="29" fillId="0" borderId="1" xfId="10" applyNumberFormat="1" applyFont="1" applyFill="1" applyBorder="1" applyAlignment="1">
      <alignment horizontal="center" vertical="center"/>
    </xf>
    <xf numFmtId="4" fontId="12" fillId="0" borderId="1" xfId="10" applyNumberFormat="1" applyFill="1" applyBorder="1" applyAlignment="1"/>
    <xf numFmtId="0" fontId="9" fillId="0" borderId="1" xfId="10" applyFont="1" applyFill="1" applyBorder="1"/>
    <xf numFmtId="0" fontId="8" fillId="0" borderId="1" xfId="10" applyFont="1" applyFill="1" applyBorder="1" applyAlignment="1"/>
    <xf numFmtId="0" fontId="12" fillId="0" borderId="1" xfId="10" applyFont="1" applyFill="1" applyBorder="1" applyAlignment="1"/>
    <xf numFmtId="0" fontId="8" fillId="0" borderId="1" xfId="10" applyFont="1" applyFill="1" applyBorder="1"/>
    <xf numFmtId="0" fontId="8" fillId="0" borderId="1" xfId="10" applyFont="1" applyFill="1" applyBorder="1" applyAlignment="1">
      <alignment horizontal="center"/>
    </xf>
    <xf numFmtId="0" fontId="7" fillId="0" borderId="1" xfId="1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6" fillId="0" borderId="1" xfId="10" applyFont="1" applyFill="1" applyBorder="1"/>
    <xf numFmtId="0" fontId="4" fillId="0" borderId="1" xfId="2" applyFont="1" applyFill="1" applyBorder="1" applyAlignment="1"/>
    <xf numFmtId="0" fontId="4" fillId="0" borderId="1" xfId="4" applyFont="1" applyFill="1" applyBorder="1" applyAlignment="1">
      <alignment horizontal="center"/>
    </xf>
    <xf numFmtId="0" fontId="16" fillId="0" borderId="1" xfId="4" applyFill="1" applyBorder="1" applyAlignment="1">
      <alignment horizontal="center"/>
    </xf>
    <xf numFmtId="4" fontId="29" fillId="0" borderId="1" xfId="4" applyNumberFormat="1" applyFont="1" applyFill="1" applyBorder="1" applyAlignment="1"/>
    <xf numFmtId="0" fontId="3" fillId="0" borderId="1" xfId="10" applyFont="1" applyFill="1" applyBorder="1"/>
    <xf numFmtId="0" fontId="2" fillId="0" borderId="1" xfId="2" applyFont="1" applyFill="1" applyBorder="1" applyAlignment="1"/>
    <xf numFmtId="0" fontId="5" fillId="0" borderId="1" xfId="4" applyFont="1" applyFill="1" applyBorder="1" applyAlignment="1">
      <alignment horizontal="center"/>
    </xf>
    <xf numFmtId="0" fontId="2" fillId="0" borderId="1" xfId="10" applyFont="1" applyFill="1" applyBorder="1"/>
    <xf numFmtId="0" fontId="31" fillId="3" borderId="1" xfId="0" applyFont="1" applyFill="1" applyBorder="1" applyAlignment="1">
      <alignment horizontal="left" vertical="center" wrapText="1"/>
    </xf>
    <xf numFmtId="4" fontId="39" fillId="0" borderId="1" xfId="0" applyNumberFormat="1" applyFont="1" applyBorder="1"/>
    <xf numFmtId="4" fontId="31" fillId="3" borderId="1" xfId="1" applyNumberFormat="1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/>
    </xf>
    <xf numFmtId="0" fontId="33" fillId="0" borderId="1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 applyFill="1" applyBorder="1"/>
    <xf numFmtId="0" fontId="22" fillId="0" borderId="0" xfId="0" applyFont="1" applyBorder="1" applyAlignment="1">
      <alignment wrapText="1"/>
    </xf>
    <xf numFmtId="0" fontId="22" fillId="0" borderId="0" xfId="0" applyFont="1" applyBorder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7"/>
    <cellStyle name="Обычный 2 4" xfId="13"/>
    <cellStyle name="Обычный 2 5" xfId="6"/>
    <cellStyle name="Обычный 2 5 2" xfId="12"/>
    <cellStyle name="Обычный 2 5 3" xfId="17"/>
    <cellStyle name="Обычный 2 6" xfId="18"/>
    <cellStyle name="Обычный 3" xfId="2"/>
    <cellStyle name="Обычный 3 2" xfId="8"/>
    <cellStyle name="Обычный 3 3" xfId="14"/>
    <cellStyle name="Обычный 3 4" xfId="19"/>
    <cellStyle name="Обычный 4" xfId="4"/>
    <cellStyle name="Обычный 4 2" xfId="9"/>
    <cellStyle name="Обычный 4 3" xfId="15"/>
    <cellStyle name="Обычный 4 4" xfId="20"/>
    <cellStyle name="Обычный 5" xfId="5"/>
    <cellStyle name="Обычный 5 2" xfId="10"/>
    <cellStyle name="Обычный 5 3" xfId="16"/>
    <cellStyle name="Обычный 5 4" xfId="21"/>
    <cellStyle name="Обычный 6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85" t="s">
        <v>173</v>
      </c>
      <c r="B2" s="185"/>
      <c r="C2" s="185"/>
      <c r="D2" s="185"/>
      <c r="E2" s="185"/>
      <c r="F2" s="185"/>
      <c r="G2" s="185"/>
      <c r="H2" s="185"/>
      <c r="I2" s="185"/>
      <c r="J2" s="185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176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79" t="s">
        <v>1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07"/>
      <c r="L8" s="186"/>
      <c r="M8" s="107"/>
      <c r="N8" s="107"/>
      <c r="O8" s="68" t="s">
        <v>79</v>
      </c>
      <c r="R8" s="16"/>
    </row>
    <row r="9" spans="1:18" ht="18.75" customHeight="1" outlineLevel="1">
      <c r="A9" s="179" t="s">
        <v>2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07"/>
      <c r="L9" s="186"/>
      <c r="M9" s="107"/>
      <c r="N9" s="107"/>
      <c r="O9" s="68" t="s">
        <v>80</v>
      </c>
    </row>
    <row r="10" spans="1:18" ht="18.75" customHeight="1" outlineLevel="1">
      <c r="A10" s="179" t="s">
        <v>3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611415.25</v>
      </c>
      <c r="K10" s="107"/>
      <c r="L10" s="186"/>
      <c r="M10" s="107"/>
      <c r="N10" s="107"/>
      <c r="O10" s="68" t="s">
        <v>81</v>
      </c>
    </row>
    <row r="11" spans="1:18" outlineLevel="1">
      <c r="A11" s="179" t="s">
        <v>4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1583720.2340000002</v>
      </c>
      <c r="K11" s="107"/>
      <c r="L11" s="186"/>
      <c r="M11" s="107"/>
      <c r="N11" s="107"/>
      <c r="O11" s="68" t="s">
        <v>82</v>
      </c>
    </row>
    <row r="12" spans="1:18" ht="18.75" customHeight="1" outlineLevel="1">
      <c r="A12" s="179" t="s">
        <v>5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951634.93</v>
      </c>
      <c r="K12" s="107"/>
      <c r="L12" s="186"/>
      <c r="M12" s="107"/>
      <c r="N12" s="107"/>
      <c r="O12" s="68" t="s">
        <v>83</v>
      </c>
    </row>
    <row r="13" spans="1:18" ht="18.75" customHeight="1" outlineLevel="1">
      <c r="A13" s="179" t="s">
        <v>6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307680.98400000005</v>
      </c>
      <c r="K13" s="107"/>
      <c r="L13" s="186"/>
      <c r="M13" s="107"/>
      <c r="N13" s="107"/>
      <c r="O13" s="68" t="s">
        <v>84</v>
      </c>
    </row>
    <row r="14" spans="1:18" ht="18.75" customHeight="1" outlineLevel="1">
      <c r="A14" s="179" t="s">
        <v>7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324404.32</v>
      </c>
      <c r="K14" s="107"/>
      <c r="L14" s="186"/>
      <c r="M14" s="107"/>
      <c r="N14" s="107"/>
      <c r="O14" s="68" t="s">
        <v>85</v>
      </c>
    </row>
    <row r="15" spans="1:18" ht="18.75" customHeight="1" outlineLevel="1">
      <c r="A15" s="179" t="s">
        <v>8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1563490.65</v>
      </c>
      <c r="K15" s="107"/>
      <c r="L15" s="186"/>
      <c r="M15" s="107"/>
      <c r="N15" s="107"/>
      <c r="O15" s="68" t="s">
        <v>86</v>
      </c>
    </row>
    <row r="16" spans="1:18" ht="18.75" customHeight="1" outlineLevel="1">
      <c r="A16" s="179" t="s">
        <v>9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1563490.65</v>
      </c>
      <c r="K16" s="107"/>
      <c r="L16" s="186"/>
      <c r="M16" s="107"/>
      <c r="N16" s="107"/>
      <c r="O16" s="68" t="s">
        <v>87</v>
      </c>
    </row>
    <row r="17" spans="1:23" ht="18.75" customHeight="1" outlineLevel="1">
      <c r="A17" s="179" t="s">
        <v>10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07"/>
      <c r="L17" s="186"/>
      <c r="M17" s="107"/>
      <c r="N17" s="107"/>
      <c r="O17" s="68" t="s">
        <v>88</v>
      </c>
    </row>
    <row r="18" spans="1:23" ht="18.75" customHeight="1" outlineLevel="1">
      <c r="A18" s="179" t="s">
        <v>11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07"/>
      <c r="L18" s="186"/>
      <c r="M18" s="107"/>
      <c r="N18" s="107"/>
      <c r="O18" s="68" t="s">
        <v>89</v>
      </c>
    </row>
    <row r="19" spans="1:23" ht="18.75" customHeight="1" outlineLevel="1">
      <c r="A19" s="179" t="s">
        <v>12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07"/>
      <c r="L19" s="186"/>
      <c r="M19" s="107"/>
      <c r="N19" s="107"/>
      <c r="O19" s="68" t="s">
        <v>90</v>
      </c>
    </row>
    <row r="20" spans="1:23" ht="18.75" customHeight="1" outlineLevel="1">
      <c r="A20" s="179" t="s">
        <v>13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07"/>
      <c r="L20" s="186"/>
      <c r="M20" s="107"/>
      <c r="N20" s="107"/>
      <c r="O20" s="68" t="s">
        <v>91</v>
      </c>
    </row>
    <row r="21" spans="1:23" ht="18.75" customHeight="1" outlineLevel="1">
      <c r="A21" s="179" t="s">
        <v>14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1563490.65</v>
      </c>
      <c r="K21" s="107"/>
      <c r="L21" s="186"/>
      <c r="M21" s="107"/>
      <c r="N21" s="107"/>
      <c r="O21" s="68" t="s">
        <v>92</v>
      </c>
    </row>
    <row r="22" spans="1:23" ht="18.75" customHeight="1" outlineLevel="1">
      <c r="A22" s="179" t="s">
        <v>15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07"/>
      <c r="L22" s="186"/>
      <c r="M22" s="107"/>
      <c r="N22" s="107"/>
      <c r="O22" s="68" t="s">
        <v>93</v>
      </c>
    </row>
    <row r="23" spans="1:23" ht="18.75" customHeight="1" outlineLevel="1">
      <c r="A23" s="179" t="s">
        <v>16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07"/>
      <c r="L23" s="186"/>
      <c r="M23" s="107"/>
      <c r="N23" s="107"/>
      <c r="O23" s="68" t="s">
        <v>94</v>
      </c>
    </row>
    <row r="24" spans="1:23" ht="18.75" customHeight="1" outlineLevel="1">
      <c r="A24" s="179" t="s">
        <v>17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631644.83400000026</v>
      </c>
      <c r="K24" s="107"/>
      <c r="L24" s="186"/>
      <c r="M24" s="107"/>
      <c r="N24" s="107"/>
      <c r="O24" s="68" t="s">
        <v>95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78" t="s">
        <v>18</v>
      </c>
      <c r="B27" s="178"/>
      <c r="C27" s="178"/>
      <c r="D27" s="178"/>
      <c r="E27" s="178"/>
      <c r="F27" s="178" t="s">
        <v>19</v>
      </c>
      <c r="G27" s="178"/>
      <c r="H27" s="5" t="s">
        <v>55</v>
      </c>
      <c r="I27" s="178" t="s">
        <v>20</v>
      </c>
      <c r="J27" s="178"/>
      <c r="K27" s="107"/>
      <c r="L27" s="187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5">
        <f>VLOOKUP(A28,ПТО!$A$39:$D$53,2,FALSE)</f>
        <v>416732.47200000007</v>
      </c>
      <c r="G28" s="175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7"/>
      <c r="L28" s="187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hidden="1" customHeight="1" outlineLevel="1">
      <c r="A29" s="170">
        <f>ПТО!A40</f>
        <v>0</v>
      </c>
      <c r="B29" s="170"/>
      <c r="C29" s="170"/>
      <c r="D29" s="170"/>
      <c r="E29" s="170"/>
      <c r="F29" s="175" t="e">
        <f>VLOOKUP(A29,ПТО!$A$39:$D$53,2,FALSE)</f>
        <v>#N/A</v>
      </c>
      <c r="G29" s="175"/>
      <c r="H29" s="40" t="e">
        <f>VLOOKUP(A29,ПТО!$A$39:$D$53,3,FALSE)</f>
        <v>#N/A</v>
      </c>
      <c r="I29" s="171" t="e">
        <f>VLOOKUP(A29,ПТО!$A$39:$D$53,4,FALSE)</f>
        <v>#N/A</v>
      </c>
      <c r="J29" s="171"/>
      <c r="K29" s="107"/>
      <c r="L29" s="187"/>
      <c r="M29" s="107"/>
      <c r="N29" s="107"/>
      <c r="O29" s="23">
        <f t="shared" si="1"/>
        <v>0</v>
      </c>
      <c r="R29" s="1" t="s">
        <v>69</v>
      </c>
    </row>
    <row r="30" spans="1:23" ht="45.75" customHeight="1" outlineLevel="1">
      <c r="A30" s="170" t="str">
        <f>ПТО!A41</f>
        <v xml:space="preserve">Работы по содержанию земельного участка </v>
      </c>
      <c r="B30" s="170"/>
      <c r="C30" s="170"/>
      <c r="D30" s="170"/>
      <c r="E30" s="170"/>
      <c r="F30" s="175">
        <f>VLOOKUP(A30,ПТО!$A$39:$D$53,2,FALSE)</f>
        <v>109159.674</v>
      </c>
      <c r="G30" s="175"/>
      <c r="H30" s="40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7"/>
      <c r="L30" s="187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5">
        <f>VLOOKUP(A31,ПТО!$A$39:$D$53,2,FALSE)</f>
        <v>76595.687999999995</v>
      </c>
      <c r="G31" s="175"/>
      <c r="H31" s="40" t="str">
        <f>VLOOKUP(A31,ПТО!$A$39:$D$53,3,FALSE)</f>
        <v>Ежемесячно</v>
      </c>
      <c r="I31" s="171">
        <f>VLOOKUP(A31,ПТО!$A$39:$D$53,4,FALSE)</f>
        <v>12</v>
      </c>
      <c r="J31" s="171"/>
      <c r="K31" s="107"/>
      <c r="L31" s="187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70">
        <f>ПТО!A43</f>
        <v>0</v>
      </c>
      <c r="B32" s="170"/>
      <c r="C32" s="170"/>
      <c r="D32" s="170"/>
      <c r="E32" s="170"/>
      <c r="F32" s="175" t="e">
        <f>VLOOKUP(A32,ПТО!$A$39:$D$53,2,FALSE)</f>
        <v>#N/A</v>
      </c>
      <c r="G32" s="175"/>
      <c r="H32" s="40" t="e">
        <f>VLOOKUP(A32,ПТО!$A$39:$D$53,3,FALSE)</f>
        <v>#N/A</v>
      </c>
      <c r="I32" s="171" t="e">
        <f>VLOOKUP(A32,ПТО!$A$39:$D$53,4,FALSE)</f>
        <v>#N/A</v>
      </c>
      <c r="J32" s="171"/>
      <c r="K32" s="107"/>
      <c r="L32" s="187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5">
        <f>VLOOKUP(A33,ПТО!$A$39:$D$53,2,FALSE)</f>
        <v>25315.524000000001</v>
      </c>
      <c r="G33" s="175"/>
      <c r="H33" s="40" t="str">
        <f>VLOOKUP(A33,ПТО!$A$39:$D$53,3,FALSE)</f>
        <v>Круглосуточно</v>
      </c>
      <c r="I33" s="171">
        <f>VLOOKUP(A33,ПТО!$A$39:$D$53,4,FALSE)</f>
        <v>12</v>
      </c>
      <c r="J33" s="171"/>
      <c r="K33" s="107"/>
      <c r="L33" s="187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5">
        <f>VLOOKUP(A34,ПТО!$A$39:$D$53,2,FALSE)</f>
        <v>103317.63</v>
      </c>
      <c r="G34" s="175"/>
      <c r="H34" s="40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7"/>
      <c r="L34" s="187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70" t="str">
        <f>ПТО!A46</f>
        <v>Работы по содержанию лифта (лифтов)</v>
      </c>
      <c r="B35" s="170"/>
      <c r="C35" s="170"/>
      <c r="D35" s="170"/>
      <c r="E35" s="170"/>
      <c r="F35" s="175">
        <f>VLOOKUP(A35,ПТО!$A$39:$D$53,2,FALSE)</f>
        <v>150594.91200000001</v>
      </c>
      <c r="G35" s="175"/>
      <c r="H35" s="40" t="str">
        <f>VLOOKUP(A35,ПТО!$A$39:$D$53,3,FALSE)</f>
        <v>Ежемесячно</v>
      </c>
      <c r="I35" s="171">
        <f>VLOOKUP(A35,ПТО!$A$39:$D$53,4,FALSE)</f>
        <v>12</v>
      </c>
      <c r="J35" s="171"/>
      <c r="K35" s="107"/>
      <c r="L35" s="187"/>
      <c r="M35" s="113"/>
      <c r="N35" s="107"/>
      <c r="O35" s="23" t="str">
        <f t="shared" si="1"/>
        <v>Работы по содержанию лифта (лифтов)</v>
      </c>
      <c r="R35" s="1" t="s">
        <v>69</v>
      </c>
    </row>
    <row r="36" spans="1:18" ht="51" hidden="1" customHeight="1" outlineLevel="1">
      <c r="A36" s="170">
        <f>ПТО!A47</f>
        <v>0</v>
      </c>
      <c r="B36" s="170"/>
      <c r="C36" s="170"/>
      <c r="D36" s="170"/>
      <c r="E36" s="170"/>
      <c r="F36" s="175" t="e">
        <f>VLOOKUP(A36,ПТО!$A$39:$D$53,2,FALSE)</f>
        <v>#N/A</v>
      </c>
      <c r="G36" s="175"/>
      <c r="H36" s="40" t="e">
        <f>VLOOKUP(A36,ПТО!$A$39:$D$53,3,FALSE)</f>
        <v>#N/A</v>
      </c>
      <c r="I36" s="171" t="e">
        <f>VLOOKUP(A36,ПТО!$A$39:$D$53,4,FALSE)</f>
        <v>#N/A</v>
      </c>
      <c r="J36" s="171"/>
      <c r="K36" s="107"/>
      <c r="L36" s="187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5" t="e">
        <f>VLOOKUP(A37,ПТО!$A$39:$D$53,2,FALSE)</f>
        <v>#N/A</v>
      </c>
      <c r="G37" s="175"/>
      <c r="H37" s="40" t="e">
        <f>VLOOKUP(A37,ПТО!$A$39:$D$53,3,FALSE)</f>
        <v>#N/A</v>
      </c>
      <c r="I37" s="171" t="e">
        <f>VLOOKUP(A37,ПТО!$A$39:$D$53,4,FALSE)</f>
        <v>#N/A</v>
      </c>
      <c r="J37" s="171"/>
      <c r="K37" s="107"/>
      <c r="L37" s="187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5" t="e">
        <f>VLOOKUP(A38,ПТО!$A$39:$D$53,2,FALSE)</f>
        <v>#N/A</v>
      </c>
      <c r="G38" s="175"/>
      <c r="H38" s="40" t="e">
        <f>VLOOKUP(A38,ПТО!$A$39:$D$53,3,FALSE)</f>
        <v>#N/A</v>
      </c>
      <c r="I38" s="171" t="e">
        <f>VLOOKUP(A38,ПТО!$A$39:$D$53,4,FALSE)</f>
        <v>#N/A</v>
      </c>
      <c r="J38" s="171"/>
      <c r="K38" s="107"/>
      <c r="L38" s="187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5" t="e">
        <f>VLOOKUP(A39,ПТО!$A$39:$D$53,2,FALSE)</f>
        <v>#N/A</v>
      </c>
      <c r="G39" s="175"/>
      <c r="H39" s="40" t="e">
        <f>VLOOKUP(A39,ПТО!$A$39:$D$53,3,FALSE)</f>
        <v>#N/A</v>
      </c>
      <c r="I39" s="171" t="e">
        <f>VLOOKUP(A39,ПТО!$A$39:$D$53,4,FALSE)</f>
        <v>#N/A</v>
      </c>
      <c r="J39" s="171"/>
      <c r="K39" s="107"/>
      <c r="L39" s="187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5" t="e">
        <f>VLOOKUP(A40,ПТО!$A$39:$D$53,2,FALSE)</f>
        <v>#N/A</v>
      </c>
      <c r="G40" s="175"/>
      <c r="H40" s="40" t="e">
        <f>VLOOKUP(A40,ПТО!$A$39:$D$53,3,FALSE)</f>
        <v>#N/A</v>
      </c>
      <c r="I40" s="171" t="e">
        <f>VLOOKUP(A40,ПТО!$A$39:$D$53,4,FALSE)</f>
        <v>#N/A</v>
      </c>
      <c r="J40" s="171"/>
      <c r="K40" s="107"/>
      <c r="L40" s="187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5" t="e">
        <f>VLOOKUP(A41,ПТО!$A$39:$D$53,2,FALSE)</f>
        <v>#N/A</v>
      </c>
      <c r="G41" s="175"/>
      <c r="H41" s="40" t="e">
        <f>VLOOKUP(A41,ПТО!$A$39:$D$53,3,FALSE)</f>
        <v>#N/A</v>
      </c>
      <c r="I41" s="171" t="e">
        <f>VLOOKUP(A41,ПТО!$A$39:$D$53,4,FALSE)</f>
        <v>#N/A</v>
      </c>
      <c r="J41" s="171"/>
      <c r="K41" s="107"/>
      <c r="L41" s="187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5" t="e">
        <f>VLOOKUP(A42,ПТО!$A$39:$D$53,2,FALSE)</f>
        <v>#N/A</v>
      </c>
      <c r="G42" s="175"/>
      <c r="H42" s="40" t="e">
        <f>VLOOKUP(A42,ПТО!$A$39:$D$53,3,FALSE)</f>
        <v>#N/A</v>
      </c>
      <c r="I42" s="171" t="e">
        <f>VLOOKUP(A42,ПТО!$A$39:$D$53,4,FALSE)</f>
        <v>#N/A</v>
      </c>
      <c r="J42" s="171"/>
      <c r="K42" s="107"/>
      <c r="L42" s="187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170" t="str">
        <f>ПТО!A2</f>
        <v>Промышленная очистка кровли от снега (957 м2).</v>
      </c>
      <c r="B43" s="170"/>
      <c r="C43" s="170"/>
      <c r="D43" s="170"/>
      <c r="E43" s="170"/>
      <c r="F43" s="175">
        <f>VLOOKUP(A43,ПТО!$A$2:$D$31,4,FALSE)</f>
        <v>25839</v>
      </c>
      <c r="G43" s="175"/>
      <c r="H43" s="19" t="str">
        <f>VLOOKUP(A43,ПТО!$A$2:$D$31,2,FALSE)</f>
        <v>разово</v>
      </c>
      <c r="I43" s="171">
        <f>VLOOKUP(A43,ПТО!$A$2:$D$31,3,FALSE)</f>
        <v>1</v>
      </c>
      <c r="J43" s="171"/>
      <c r="K43" s="107"/>
      <c r="L43" s="187"/>
      <c r="M43" s="113"/>
      <c r="N43" s="107"/>
      <c r="O43" s="23" t="str">
        <f t="shared" si="1"/>
        <v>Промышленная очистка кровли от снега (957 м2).</v>
      </c>
      <c r="R43" s="22" t="s">
        <v>70</v>
      </c>
    </row>
    <row r="44" spans="1:18" ht="51" customHeight="1" outlineLevel="1">
      <c r="A44" s="170" t="str">
        <f>ПТО!A3</f>
        <v>Приобретение и замена ручки на тамбурной двери (1 подъезд).</v>
      </c>
      <c r="B44" s="170"/>
      <c r="C44" s="170"/>
      <c r="D44" s="170"/>
      <c r="E44" s="170"/>
      <c r="F44" s="175">
        <f>VLOOKUP(A44,ПТО!$A$2:$D$31,4,FALSE)</f>
        <v>2800</v>
      </c>
      <c r="G44" s="175"/>
      <c r="H44" s="25" t="str">
        <f>VLOOKUP(A44,ПТО!$A$2:$D$31,2,FALSE)</f>
        <v>разово</v>
      </c>
      <c r="I44" s="171">
        <f>VLOOKUP(A44,ПТО!$A$2:$D$31,3,FALSE)</f>
        <v>1</v>
      </c>
      <c r="J44" s="171"/>
      <c r="K44" s="107"/>
      <c r="L44" s="187"/>
      <c r="M44" s="113"/>
      <c r="N44" s="107"/>
      <c r="O44" s="23" t="str">
        <f t="shared" si="1"/>
        <v>Приобретение и замена ручки на тамбурной двери (1 подъезд).</v>
      </c>
      <c r="R44" s="22" t="s">
        <v>70</v>
      </c>
    </row>
    <row r="45" spans="1:18" ht="51" customHeight="1" outlineLevel="1">
      <c r="A45" s="170" t="str">
        <f>ПТО!A4</f>
        <v>Механизированная уборка и вывоз снега с придомовой территории.</v>
      </c>
      <c r="B45" s="170"/>
      <c r="C45" s="170"/>
      <c r="D45" s="170"/>
      <c r="E45" s="170"/>
      <c r="F45" s="175">
        <f>VLOOKUP(A45,ПТО!$A$2:$D$31,4,FALSE)</f>
        <v>41213</v>
      </c>
      <c r="G45" s="175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7"/>
      <c r="L45" s="187"/>
      <c r="M45" s="113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70</v>
      </c>
    </row>
    <row r="46" spans="1:18" ht="51" customHeight="1" outlineLevel="1">
      <c r="A46" s="170" t="str">
        <f>ПТО!A5</f>
        <v>Приобретение и установка фиксаторов на тамбурной двери (1 и 2 подъезды).</v>
      </c>
      <c r="B46" s="170"/>
      <c r="C46" s="170"/>
      <c r="D46" s="170"/>
      <c r="E46" s="170"/>
      <c r="F46" s="175">
        <f>VLOOKUP(A46,ПТО!$A$2:$D$31,4,FALSE)</f>
        <v>930</v>
      </c>
      <c r="G46" s="175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7"/>
      <c r="L46" s="187"/>
      <c r="M46" s="113"/>
      <c r="N46" s="107"/>
      <c r="O46" s="23" t="str">
        <f t="shared" si="1"/>
        <v>Приобретение и установка фиксаторов на тамбурной двери (1 и 2 подъезды).</v>
      </c>
      <c r="R46" s="22" t="s">
        <v>70</v>
      </c>
    </row>
    <row r="47" spans="1:18" ht="51" customHeight="1" outlineLevel="1">
      <c r="A47" s="170" t="str">
        <f>ПТО!A6</f>
        <v>Ремонт регистратора, настройка камер и замена блока питания системы видеонаблюдения.</v>
      </c>
      <c r="B47" s="170"/>
      <c r="C47" s="170"/>
      <c r="D47" s="170"/>
      <c r="E47" s="170"/>
      <c r="F47" s="175">
        <f>VLOOKUP(A47,ПТО!$A$2:$D$31,4,FALSE)</f>
        <v>13500</v>
      </c>
      <c r="G47" s="175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7"/>
      <c r="L47" s="187"/>
      <c r="M47" s="113"/>
      <c r="N47" s="107"/>
      <c r="O47" s="23" t="str">
        <f t="shared" si="1"/>
        <v>Ремонт регистратора, настройка камер и замена блока питания системы видеонаблюдения.</v>
      </c>
      <c r="R47" s="22" t="s">
        <v>70</v>
      </c>
    </row>
    <row r="48" spans="1:18" ht="51" customHeight="1" outlineLevel="1">
      <c r="A48" s="170" t="str">
        <f>ПТО!A7</f>
        <v>Замена блока питания прибора учета тепловой энергии.</v>
      </c>
      <c r="B48" s="170"/>
      <c r="C48" s="170"/>
      <c r="D48" s="170"/>
      <c r="E48" s="170"/>
      <c r="F48" s="175">
        <f>VLOOKUP(A48,ПТО!$A$2:$D$31,4,FALSE)</f>
        <v>7650</v>
      </c>
      <c r="G48" s="175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7"/>
      <c r="L48" s="187"/>
      <c r="M48" s="113"/>
      <c r="N48" s="107"/>
      <c r="O48" s="23" t="str">
        <f t="shared" si="1"/>
        <v>Замена блока питания прибора учета тепловой энергии.</v>
      </c>
      <c r="R48" s="22" t="s">
        <v>70</v>
      </c>
    </row>
    <row r="49" spans="1:18" ht="51" customHeight="1" outlineLevel="1">
      <c r="A49" s="170" t="str">
        <f>ПТО!A8</f>
        <v>Приобретение и замена кранов в ИТП на сбросники.</v>
      </c>
      <c r="B49" s="170"/>
      <c r="C49" s="170"/>
      <c r="D49" s="170"/>
      <c r="E49" s="170"/>
      <c r="F49" s="175">
        <f>VLOOKUP(A49,ПТО!$A$2:$D$31,4,FALSE)</f>
        <v>2625</v>
      </c>
      <c r="G49" s="175"/>
      <c r="H49" s="25" t="str">
        <f>VLOOKUP(A49,ПТО!$A$2:$D$31,2,FALSE)</f>
        <v>разово</v>
      </c>
      <c r="I49" s="171">
        <f>VLOOKUP(A49,ПТО!$A$2:$D$31,3,FALSE)</f>
        <v>1</v>
      </c>
      <c r="J49" s="171"/>
      <c r="K49" s="107"/>
      <c r="L49" s="187"/>
      <c r="M49" s="113"/>
      <c r="N49" s="107"/>
      <c r="O49" s="23" t="str">
        <f t="shared" si="1"/>
        <v>Приобретение и замена кранов в ИТП на сбросники.</v>
      </c>
      <c r="R49" s="22" t="s">
        <v>70</v>
      </c>
    </row>
    <row r="50" spans="1:18" ht="51" hidden="1" customHeight="1" outlineLevel="1">
      <c r="A50" s="170">
        <f>ПТО!A9</f>
        <v>0</v>
      </c>
      <c r="B50" s="170"/>
      <c r="C50" s="170"/>
      <c r="D50" s="170"/>
      <c r="E50" s="170"/>
      <c r="F50" s="175" t="e">
        <f>VLOOKUP(A50,ПТО!$A$2:$D$31,4,FALSE)</f>
        <v>#N/A</v>
      </c>
      <c r="G50" s="175"/>
      <c r="H50" s="25" t="e">
        <f>VLOOKUP(A50,ПТО!$A$2:$D$31,2,FALSE)</f>
        <v>#N/A</v>
      </c>
      <c r="I50" s="171" t="e">
        <f>VLOOKUP(A50,ПТО!$A$2:$D$31,3,FALSE)</f>
        <v>#N/A</v>
      </c>
      <c r="J50" s="171"/>
      <c r="K50" s="107"/>
      <c r="L50" s="187"/>
      <c r="M50" s="113"/>
      <c r="N50" s="107"/>
      <c r="O50" s="23">
        <f t="shared" si="1"/>
        <v>0</v>
      </c>
      <c r="R50" s="22" t="s">
        <v>70</v>
      </c>
    </row>
    <row r="51" spans="1:18" ht="51" hidden="1" customHeight="1" outlineLevel="1">
      <c r="A51" s="170">
        <f>ПТО!A10</f>
        <v>0</v>
      </c>
      <c r="B51" s="170"/>
      <c r="C51" s="170"/>
      <c r="D51" s="170"/>
      <c r="E51" s="170"/>
      <c r="F51" s="175" t="e">
        <f>VLOOKUP(A51,ПТО!$A$2:$D$31,4,FALSE)</f>
        <v>#N/A</v>
      </c>
      <c r="G51" s="175"/>
      <c r="H51" s="25" t="e">
        <f>VLOOKUP(A51,ПТО!$A$2:$D$31,2,FALSE)</f>
        <v>#N/A</v>
      </c>
      <c r="I51" s="171" t="e">
        <f>VLOOKUP(A51,ПТО!$A$2:$D$31,3,FALSE)</f>
        <v>#N/A</v>
      </c>
      <c r="J51" s="171"/>
      <c r="K51" s="107"/>
      <c r="L51" s="187"/>
      <c r="M51" s="113"/>
      <c r="N51" s="107"/>
      <c r="O51" s="23">
        <f t="shared" si="1"/>
        <v>0</v>
      </c>
      <c r="R51" s="22" t="s">
        <v>70</v>
      </c>
    </row>
    <row r="52" spans="1:18" ht="51" hidden="1" customHeight="1" outlineLevel="1">
      <c r="A52" s="170">
        <f>ПТО!A11</f>
        <v>0</v>
      </c>
      <c r="B52" s="170"/>
      <c r="C52" s="170"/>
      <c r="D52" s="170"/>
      <c r="E52" s="170"/>
      <c r="F52" s="175" t="e">
        <f>VLOOKUP(A52,ПТО!$A$2:$D$31,4,FALSE)</f>
        <v>#N/A</v>
      </c>
      <c r="G52" s="175"/>
      <c r="H52" s="25" t="e">
        <f>VLOOKUP(A52,ПТО!$A$2:$D$31,2,FALSE)</f>
        <v>#N/A</v>
      </c>
      <c r="I52" s="171" t="e">
        <f>VLOOKUP(A52,ПТО!$A$2:$D$31,3,FALSE)</f>
        <v>#N/A</v>
      </c>
      <c r="J52" s="171"/>
      <c r="K52" s="107"/>
      <c r="L52" s="187"/>
      <c r="M52" s="113"/>
      <c r="N52" s="107"/>
      <c r="O52" s="23">
        <f t="shared" si="1"/>
        <v>0</v>
      </c>
      <c r="R52" s="22" t="s">
        <v>70</v>
      </c>
    </row>
    <row r="53" spans="1:18" ht="51" hidden="1" customHeight="1" outlineLevel="1">
      <c r="A53" s="170">
        <f>ПТО!A12</f>
        <v>0</v>
      </c>
      <c r="B53" s="170"/>
      <c r="C53" s="170"/>
      <c r="D53" s="170"/>
      <c r="E53" s="170"/>
      <c r="F53" s="175" t="e">
        <f>VLOOKUP(A53,ПТО!$A$2:$D$31,4,FALSE)</f>
        <v>#N/A</v>
      </c>
      <c r="G53" s="175"/>
      <c r="H53" s="25" t="e">
        <f>VLOOKUP(A53,ПТО!$A$2:$D$31,2,FALSE)</f>
        <v>#N/A</v>
      </c>
      <c r="I53" s="171" t="e">
        <f>VLOOKUP(A53,ПТО!$A$2:$D$31,3,FALSE)</f>
        <v>#N/A</v>
      </c>
      <c r="J53" s="171"/>
      <c r="K53" s="107"/>
      <c r="L53" s="187"/>
      <c r="M53" s="113"/>
      <c r="N53" s="107"/>
      <c r="O53" s="23">
        <f t="shared" si="1"/>
        <v>0</v>
      </c>
      <c r="R53" s="22" t="s">
        <v>70</v>
      </c>
    </row>
    <row r="54" spans="1:18" ht="51" hidden="1" customHeight="1" outlineLevel="1">
      <c r="A54" s="170">
        <f>ПТО!A13</f>
        <v>0</v>
      </c>
      <c r="B54" s="170"/>
      <c r="C54" s="170"/>
      <c r="D54" s="170"/>
      <c r="E54" s="170"/>
      <c r="F54" s="175" t="e">
        <f>VLOOKUP(A54,ПТО!$A$2:$D$31,4,FALSE)</f>
        <v>#N/A</v>
      </c>
      <c r="G54" s="175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07"/>
      <c r="L54" s="187"/>
      <c r="M54" s="113"/>
      <c r="N54" s="107"/>
      <c r="O54" s="23">
        <f t="shared" si="1"/>
        <v>0</v>
      </c>
      <c r="R54" s="22" t="s">
        <v>70</v>
      </c>
    </row>
    <row r="55" spans="1:18" ht="51" hidden="1" customHeight="1" outlineLevel="1">
      <c r="A55" s="170">
        <f>ПТО!A14</f>
        <v>0</v>
      </c>
      <c r="B55" s="170"/>
      <c r="C55" s="170"/>
      <c r="D55" s="170"/>
      <c r="E55" s="170"/>
      <c r="F55" s="175" t="e">
        <f>VLOOKUP(A55,ПТО!$A$2:$D$31,4,FALSE)</f>
        <v>#N/A</v>
      </c>
      <c r="G55" s="175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7"/>
      <c r="L55" s="187"/>
      <c r="M55" s="113"/>
      <c r="N55" s="107"/>
      <c r="O55" s="23">
        <f t="shared" si="1"/>
        <v>0</v>
      </c>
      <c r="R55" s="22" t="s">
        <v>70</v>
      </c>
    </row>
    <row r="56" spans="1:18" ht="51" hidden="1" customHeight="1" outlineLevel="1">
      <c r="A56" s="170">
        <f>ПТО!A15</f>
        <v>0</v>
      </c>
      <c r="B56" s="170"/>
      <c r="C56" s="170"/>
      <c r="D56" s="170"/>
      <c r="E56" s="170"/>
      <c r="F56" s="175" t="e">
        <f>VLOOKUP(A56,ПТО!$A$2:$D$31,4,FALSE)</f>
        <v>#N/A</v>
      </c>
      <c r="G56" s="175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7"/>
      <c r="L56" s="187"/>
      <c r="M56" s="113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70">
        <f>ПТО!A16</f>
        <v>0</v>
      </c>
      <c r="B57" s="170"/>
      <c r="C57" s="170"/>
      <c r="D57" s="170"/>
      <c r="E57" s="170"/>
      <c r="F57" s="175" t="e">
        <f>VLOOKUP(A57,ПТО!$A$2:$D$31,4,FALSE)</f>
        <v>#N/A</v>
      </c>
      <c r="G57" s="175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7"/>
      <c r="L57" s="187"/>
      <c r="M57" s="113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5" t="e">
        <f>VLOOKUP(A58,ПТО!$A$2:$D$31,4,FALSE)</f>
        <v>#N/A</v>
      </c>
      <c r="G58" s="175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7"/>
      <c r="L58" s="187"/>
      <c r="M58" s="113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5" t="e">
        <f>VLOOKUP(A59,ПТО!$A$2:$D$31,4,FALSE)</f>
        <v>#N/A</v>
      </c>
      <c r="G59" s="175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7"/>
      <c r="L59" s="187"/>
      <c r="M59" s="113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5" t="e">
        <f>VLOOKUP(A60,ПТО!$A$2:$D$31,4,FALSE)</f>
        <v>#N/A</v>
      </c>
      <c r="G60" s="175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7"/>
      <c r="L60" s="187"/>
      <c r="M60" s="113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5" t="e">
        <f>VLOOKUP(A61,ПТО!$A$2:$D$31,4,FALSE)</f>
        <v>#N/A</v>
      </c>
      <c r="G61" s="175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7"/>
      <c r="L61" s="187"/>
      <c r="M61" s="113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5" t="e">
        <f>VLOOKUP(A62,ПТО!$A$2:$D$31,4,FALSE)</f>
        <v>#N/A</v>
      </c>
      <c r="G62" s="175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7"/>
      <c r="L62" s="187"/>
      <c r="M62" s="113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5" t="e">
        <f>VLOOKUP(A63,ПТО!$A$2:$D$31,4,FALSE)</f>
        <v>#N/A</v>
      </c>
      <c r="G63" s="175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7"/>
      <c r="L63" s="187"/>
      <c r="M63" s="113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5" t="e">
        <f>VLOOKUP(A64,ПТО!$A$2:$D$31,4,FALSE)</f>
        <v>#N/A</v>
      </c>
      <c r="G64" s="175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7"/>
      <c r="L64" s="187"/>
      <c r="M64" s="113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5" t="e">
        <f>VLOOKUP(A65,ПТО!$A$2:$D$31,4,FALSE)</f>
        <v>#N/A</v>
      </c>
      <c r="G65" s="175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7"/>
      <c r="L65" s="187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5" t="e">
        <f>VLOOKUP(A66,ПТО!$A$2:$D$31,4,FALSE)</f>
        <v>#N/A</v>
      </c>
      <c r="G66" s="175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7"/>
      <c r="L66" s="187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5" t="e">
        <f>VLOOKUP(A67,ПТО!$A$2:$D$31,4,FALSE)</f>
        <v>#N/A</v>
      </c>
      <c r="G67" s="175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7"/>
      <c r="L67" s="187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5" t="e">
        <f>VLOOKUP(A68,ПТО!$A$2:$D$31,4,FALSE)</f>
        <v>#N/A</v>
      </c>
      <c r="G68" s="175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7"/>
      <c r="L68" s="187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5" t="e">
        <f>VLOOKUP(A69,ПТО!$A$2:$D$31,4,FALSE)</f>
        <v>#N/A</v>
      </c>
      <c r="G69" s="175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7"/>
      <c r="L69" s="187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5" t="e">
        <f>VLOOKUP(A70,ПТО!$A$2:$D$31,4,FALSE)</f>
        <v>#N/A</v>
      </c>
      <c r="G70" s="175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7"/>
      <c r="L70" s="187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5" t="e">
        <f>VLOOKUP(A71,ПТО!$A$2:$D$31,4,FALSE)</f>
        <v>#N/A</v>
      </c>
      <c r="G71" s="175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3"/>
      <c r="L71" s="187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5" t="e">
        <f>VLOOKUP(A72,ПТО!$A$2:$D$31,4,FALSE)</f>
        <v>#N/A</v>
      </c>
      <c r="G72" s="175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7"/>
      <c r="L72" s="187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171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88" t="s">
        <v>25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7"/>
      <c r="L75" s="190"/>
      <c r="M75" s="107"/>
      <c r="N75" s="107"/>
      <c r="O75" s="68" t="s">
        <v>96</v>
      </c>
    </row>
    <row r="76" spans="1:16384" ht="18.75" customHeight="1" outlineLevel="1">
      <c r="A76" s="188" t="s">
        <v>26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7"/>
      <c r="L76" s="190"/>
      <c r="M76" s="107"/>
      <c r="N76" s="107"/>
      <c r="O76" s="68" t="s">
        <v>97</v>
      </c>
    </row>
    <row r="77" spans="1:16384" ht="21.75" customHeight="1" outlineLevel="1">
      <c r="A77" s="188" t="s">
        <v>27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7"/>
      <c r="L77" s="190"/>
      <c r="M77" s="107"/>
      <c r="N77" s="107"/>
      <c r="O77" s="68" t="s">
        <v>98</v>
      </c>
    </row>
    <row r="78" spans="1:16384" ht="18.75" customHeight="1" outlineLevel="1">
      <c r="A78" s="188" t="s">
        <v>28</v>
      </c>
      <c r="B78" s="188"/>
      <c r="C78" s="188"/>
      <c r="D78" s="188"/>
      <c r="E78" s="188"/>
      <c r="F78" s="188"/>
      <c r="G78" s="188"/>
      <c r="H78" s="188"/>
      <c r="I78" s="188"/>
      <c r="J78" s="95">
        <f>VLOOKUP(O78,АО,3,FALSE)</f>
        <v>0</v>
      </c>
      <c r="K78" s="107"/>
      <c r="L78" s="190"/>
      <c r="M78" s="107"/>
      <c r="N78" s="107"/>
      <c r="O78" s="68" t="s">
        <v>99</v>
      </c>
    </row>
    <row r="79" spans="1:16384">
      <c r="A79" s="112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68" t="s">
        <v>1</v>
      </c>
      <c r="B81" s="168"/>
      <c r="C81" s="168"/>
      <c r="D81" s="168"/>
      <c r="E81" s="168"/>
      <c r="F81" s="168"/>
      <c r="G81" s="168"/>
      <c r="H81" s="168"/>
      <c r="I81" s="168"/>
      <c r="J81" s="95">
        <f t="shared" ref="J81:J90" si="2">VLOOKUP(O81,АО,3,FALSE)</f>
        <v>0</v>
      </c>
      <c r="K81" s="107"/>
      <c r="L81" s="176"/>
      <c r="M81" s="107"/>
      <c r="N81" s="107"/>
      <c r="O81" s="68" t="s">
        <v>100</v>
      </c>
    </row>
    <row r="82" spans="1:15" outlineLevel="1">
      <c r="A82" s="168" t="s">
        <v>2</v>
      </c>
      <c r="B82" s="168"/>
      <c r="C82" s="168"/>
      <c r="D82" s="168"/>
      <c r="E82" s="168"/>
      <c r="F82" s="168"/>
      <c r="G82" s="168"/>
      <c r="H82" s="168"/>
      <c r="I82" s="168"/>
      <c r="J82" s="95">
        <f t="shared" si="2"/>
        <v>0</v>
      </c>
      <c r="K82" s="107"/>
      <c r="L82" s="176"/>
      <c r="M82" s="107"/>
      <c r="N82" s="107"/>
      <c r="O82" s="68" t="s">
        <v>101</v>
      </c>
    </row>
    <row r="83" spans="1:15" outlineLevel="1">
      <c r="A83" s="182" t="s">
        <v>3</v>
      </c>
      <c r="B83" s="183"/>
      <c r="C83" s="183"/>
      <c r="D83" s="183"/>
      <c r="E83" s="183"/>
      <c r="F83" s="183"/>
      <c r="G83" s="183"/>
      <c r="H83" s="183"/>
      <c r="I83" s="184"/>
      <c r="J83" s="95">
        <f t="shared" si="2"/>
        <v>136642.12</v>
      </c>
      <c r="K83" s="107"/>
      <c r="L83" s="176"/>
      <c r="M83" s="107"/>
      <c r="N83" s="107"/>
      <c r="O83" s="68" t="s">
        <v>102</v>
      </c>
    </row>
    <row r="84" spans="1:15" outlineLevel="1">
      <c r="A84" s="182" t="s">
        <v>15</v>
      </c>
      <c r="B84" s="183"/>
      <c r="C84" s="183"/>
      <c r="D84" s="183"/>
      <c r="E84" s="183"/>
      <c r="F84" s="183"/>
      <c r="G84" s="183"/>
      <c r="H84" s="183"/>
      <c r="I84" s="184"/>
      <c r="J84" s="95">
        <f t="shared" si="2"/>
        <v>0</v>
      </c>
      <c r="K84" s="107"/>
      <c r="L84" s="176"/>
      <c r="M84" s="107"/>
      <c r="N84" s="107"/>
      <c r="O84" s="68" t="s">
        <v>103</v>
      </c>
    </row>
    <row r="85" spans="1:15" outlineLevel="1">
      <c r="A85" s="182" t="s">
        <v>16</v>
      </c>
      <c r="B85" s="183"/>
      <c r="C85" s="183"/>
      <c r="D85" s="183"/>
      <c r="E85" s="183"/>
      <c r="F85" s="183"/>
      <c r="G85" s="183"/>
      <c r="H85" s="183"/>
      <c r="I85" s="184"/>
      <c r="J85" s="95">
        <f t="shared" si="2"/>
        <v>0</v>
      </c>
      <c r="K85" s="107"/>
      <c r="L85" s="176"/>
      <c r="M85" s="107"/>
      <c r="N85" s="107"/>
      <c r="O85" s="68" t="s">
        <v>104</v>
      </c>
    </row>
    <row r="86" spans="1:15" outlineLevel="1">
      <c r="A86" s="182" t="s">
        <v>17</v>
      </c>
      <c r="B86" s="183"/>
      <c r="C86" s="183"/>
      <c r="D86" s="183"/>
      <c r="E86" s="183"/>
      <c r="F86" s="183"/>
      <c r="G86" s="183"/>
      <c r="H86" s="183"/>
      <c r="I86" s="184"/>
      <c r="J86" s="95">
        <f t="shared" si="2"/>
        <v>104952.82</v>
      </c>
      <c r="K86" s="107"/>
      <c r="L86" s="176"/>
      <c r="M86" s="107"/>
      <c r="N86" s="107"/>
      <c r="O86" s="68" t="s">
        <v>105</v>
      </c>
    </row>
    <row r="87" spans="1:15" ht="18.75" customHeight="1" outlineLevel="1">
      <c r="A87" s="182" t="s">
        <v>25</v>
      </c>
      <c r="B87" s="183"/>
      <c r="C87" s="183"/>
      <c r="D87" s="183"/>
      <c r="E87" s="183"/>
      <c r="F87" s="183"/>
      <c r="G87" s="183"/>
      <c r="H87" s="183"/>
      <c r="I87" s="184"/>
      <c r="J87" s="8">
        <f t="shared" si="2"/>
        <v>0</v>
      </c>
      <c r="K87" s="107"/>
      <c r="L87" s="176"/>
      <c r="M87" s="107"/>
      <c r="N87" s="107"/>
      <c r="O87" s="68" t="s">
        <v>106</v>
      </c>
    </row>
    <row r="88" spans="1:15" ht="18.75" customHeight="1" outlineLevel="1">
      <c r="A88" s="182" t="s">
        <v>26</v>
      </c>
      <c r="B88" s="183"/>
      <c r="C88" s="183"/>
      <c r="D88" s="183"/>
      <c r="E88" s="183"/>
      <c r="F88" s="183"/>
      <c r="G88" s="183"/>
      <c r="H88" s="183"/>
      <c r="I88" s="184"/>
      <c r="J88" s="8">
        <f t="shared" si="2"/>
        <v>0</v>
      </c>
      <c r="K88" s="107"/>
      <c r="L88" s="176"/>
      <c r="M88" s="107"/>
      <c r="N88" s="107"/>
      <c r="O88" s="68" t="s">
        <v>107</v>
      </c>
    </row>
    <row r="89" spans="1:15" ht="18.75" customHeight="1" outlineLevel="1">
      <c r="A89" s="182" t="s">
        <v>27</v>
      </c>
      <c r="B89" s="183"/>
      <c r="C89" s="183"/>
      <c r="D89" s="183"/>
      <c r="E89" s="183"/>
      <c r="F89" s="183"/>
      <c r="G89" s="183"/>
      <c r="H89" s="183"/>
      <c r="I89" s="184"/>
      <c r="J89" s="8">
        <f t="shared" si="2"/>
        <v>0</v>
      </c>
      <c r="K89" s="107"/>
      <c r="L89" s="176"/>
      <c r="M89" s="107"/>
      <c r="N89" s="107"/>
      <c r="O89" s="68" t="s">
        <v>108</v>
      </c>
    </row>
    <row r="90" spans="1:15" ht="18.75" customHeight="1" outlineLevel="1">
      <c r="A90" s="182" t="s">
        <v>28</v>
      </c>
      <c r="B90" s="183"/>
      <c r="C90" s="183"/>
      <c r="D90" s="183"/>
      <c r="E90" s="183"/>
      <c r="F90" s="183"/>
      <c r="G90" s="183"/>
      <c r="H90" s="183"/>
      <c r="I90" s="184"/>
      <c r="J90" s="95">
        <f t="shared" si="2"/>
        <v>0</v>
      </c>
      <c r="K90" s="107"/>
      <c r="L90" s="176"/>
      <c r="M90" s="107"/>
      <c r="N90" s="107"/>
      <c r="O90" s="68" t="s">
        <v>109</v>
      </c>
    </row>
    <row r="91" spans="1:15">
      <c r="A91" s="102" t="s">
        <v>171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91" t="s">
        <v>46</v>
      </c>
      <c r="B93" s="191"/>
      <c r="C93" s="191"/>
      <c r="D93" s="192" t="s">
        <v>47</v>
      </c>
      <c r="E93" s="192"/>
      <c r="F93" s="10" t="s">
        <v>48</v>
      </c>
      <c r="G93" s="191" t="s">
        <v>49</v>
      </c>
      <c r="H93" s="191"/>
      <c r="I93" s="191"/>
      <c r="J93" s="191"/>
      <c r="K93" s="107"/>
      <c r="L93" s="107"/>
      <c r="M93" s="107"/>
      <c r="N93" s="107"/>
    </row>
    <row r="94" spans="1:15" hidden="1" outlineLevel="1">
      <c r="A94" s="172">
        <f>IF(VLOOKUP("эл",АО,3,FALSE)&gt;0,"Электроснабжение",0)</f>
        <v>0</v>
      </c>
      <c r="B94" s="172"/>
      <c r="C94" s="172"/>
      <c r="D94" s="173">
        <f>IF(VLOOKUP("эл",АО,3,FALSE)&gt;0,VLOOKUP("эл",АО,3,FALSE),0)</f>
        <v>0</v>
      </c>
      <c r="E94" s="173"/>
      <c r="F94" s="13">
        <f>IF(VLOOKUP("эл",АО,3,FALSE)&gt;0,VLOOKUP("эл",АО,4,FALSE),0)</f>
        <v>0</v>
      </c>
      <c r="G94" s="174">
        <f>VLOOKUP("эл",АО,5,FALSE)</f>
        <v>0</v>
      </c>
      <c r="H94" s="173"/>
      <c r="I94" s="173"/>
      <c r="J94" s="173"/>
      <c r="K94" s="1" t="str">
        <f>VLOOKUP("эл",АО,2,FALSE)</f>
        <v>Электроснабжение</v>
      </c>
      <c r="L94" s="177"/>
    </row>
    <row r="95" spans="1:15" hidden="1" outlineLevel="2">
      <c r="A95" s="189">
        <f>IF(VLOOKUP("эл",АО,3,FALSE)&gt;0,VLOOKUP("эл1",АО,2,FALSE),0)</f>
        <v>0</v>
      </c>
      <c r="B95" s="189"/>
      <c r="C95" s="189"/>
      <c r="D95" s="189"/>
      <c r="E95" s="189"/>
      <c r="F95" s="189"/>
      <c r="G95" s="189"/>
      <c r="H95" s="189"/>
      <c r="I95" s="189"/>
      <c r="J95" s="18">
        <f t="shared" ref="J95:J101" si="3">VLOOKUP(O95,АО,3,FALSE)</f>
        <v>0</v>
      </c>
      <c r="L95" s="177"/>
      <c r="O95" s="1" t="s">
        <v>110</v>
      </c>
    </row>
    <row r="96" spans="1:15" hidden="1" outlineLevel="2">
      <c r="A96" s="189">
        <f>IF(VLOOKUP("эл",АО,3,FALSE)&gt;0,VLOOKUP("эл2",АО,2,FALSE),0)</f>
        <v>0</v>
      </c>
      <c r="B96" s="189"/>
      <c r="C96" s="189"/>
      <c r="D96" s="189"/>
      <c r="E96" s="189"/>
      <c r="F96" s="189"/>
      <c r="G96" s="189"/>
      <c r="H96" s="189"/>
      <c r="I96" s="189"/>
      <c r="J96" s="18">
        <f t="shared" si="3"/>
        <v>0</v>
      </c>
      <c r="L96" s="177"/>
      <c r="O96" s="1" t="s">
        <v>111</v>
      </c>
    </row>
    <row r="97" spans="1:15" hidden="1" outlineLevel="2">
      <c r="A97" s="189">
        <f>IF(VLOOKUP("эл",АО,3,FALSE)&gt;0,VLOOKUP("эл3",АО,2,FALSE),0)</f>
        <v>0</v>
      </c>
      <c r="B97" s="189"/>
      <c r="C97" s="189"/>
      <c r="D97" s="189"/>
      <c r="E97" s="189"/>
      <c r="F97" s="189"/>
      <c r="G97" s="189"/>
      <c r="H97" s="189"/>
      <c r="I97" s="189"/>
      <c r="J97" s="18">
        <f t="shared" si="3"/>
        <v>0</v>
      </c>
      <c r="L97" s="177"/>
      <c r="O97" s="1" t="s">
        <v>112</v>
      </c>
    </row>
    <row r="98" spans="1:15" ht="37.5" hidden="1" customHeight="1" outlineLevel="2">
      <c r="A98" s="189">
        <f>IF(VLOOKUP("эл",АО,3,FALSE)&gt;0,VLOOKUP("эл4",АО,2,FALSE),0)</f>
        <v>0</v>
      </c>
      <c r="B98" s="189"/>
      <c r="C98" s="189"/>
      <c r="D98" s="189"/>
      <c r="E98" s="189"/>
      <c r="F98" s="189"/>
      <c r="G98" s="189"/>
      <c r="H98" s="189"/>
      <c r="I98" s="189"/>
      <c r="J98" s="18">
        <f t="shared" si="3"/>
        <v>0</v>
      </c>
      <c r="L98" s="177"/>
      <c r="O98" s="1" t="s">
        <v>113</v>
      </c>
    </row>
    <row r="99" spans="1:15" hidden="1" outlineLevel="2">
      <c r="A99" s="189">
        <f>IF(VLOOKUP("эл",АО,3,FALSE)&gt;0,VLOOKUP("эл5",АО,2,FALSE),0)</f>
        <v>0</v>
      </c>
      <c r="B99" s="189"/>
      <c r="C99" s="189"/>
      <c r="D99" s="189"/>
      <c r="E99" s="189"/>
      <c r="F99" s="189"/>
      <c r="G99" s="189"/>
      <c r="H99" s="189"/>
      <c r="I99" s="189"/>
      <c r="J99" s="18">
        <f t="shared" si="3"/>
        <v>0</v>
      </c>
      <c r="L99" s="177"/>
      <c r="O99" s="1" t="s">
        <v>114</v>
      </c>
    </row>
    <row r="100" spans="1:15" ht="39" hidden="1" customHeight="1" outlineLevel="2">
      <c r="A100" s="189">
        <f>IF(VLOOKUP("эл",АО,3,FALSE)&gt;0,VLOOKUP("эл6",АО,2,FALSE),0)</f>
        <v>0</v>
      </c>
      <c r="B100" s="189"/>
      <c r="C100" s="189"/>
      <c r="D100" s="189"/>
      <c r="E100" s="189"/>
      <c r="F100" s="189"/>
      <c r="G100" s="189"/>
      <c r="H100" s="189"/>
      <c r="I100" s="189"/>
      <c r="J100" s="18">
        <f t="shared" si="3"/>
        <v>0</v>
      </c>
      <c r="L100" s="177"/>
      <c r="O100" s="1" t="s">
        <v>115</v>
      </c>
    </row>
    <row r="101" spans="1:15" ht="34.5" hidden="1" customHeight="1" outlineLevel="2">
      <c r="A101" s="189">
        <f>IF(VLOOKUP("эл",АО,3,FALSE)&gt;0,VLOOKUP("эл7",АО,2,FALSE),0)</f>
        <v>0</v>
      </c>
      <c r="B101" s="189"/>
      <c r="C101" s="189"/>
      <c r="D101" s="189"/>
      <c r="E101" s="189"/>
      <c r="F101" s="189"/>
      <c r="G101" s="189"/>
      <c r="H101" s="189"/>
      <c r="I101" s="189"/>
      <c r="J101" s="18">
        <f t="shared" si="3"/>
        <v>0</v>
      </c>
      <c r="L101" s="177"/>
      <c r="O101" s="1" t="s">
        <v>116</v>
      </c>
    </row>
    <row r="102" spans="1:15" ht="28.5" hidden="1" customHeight="1" outlineLevel="1">
      <c r="A102" s="172">
        <f>IF(VLOOKUP("хвс",АО,3,FALSE)&gt;0,"Холодное водоснабжение",0)</f>
        <v>0</v>
      </c>
      <c r="B102" s="172"/>
      <c r="C102" s="172"/>
      <c r="D102" s="173">
        <f>IF(VLOOKUP("хвс",АО,3,FALSE)&gt;0,VLOOKUP("хвс",АО,3,FALSE),0)</f>
        <v>0</v>
      </c>
      <c r="E102" s="173"/>
      <c r="F102" s="13">
        <f>IF(VLOOKUP("хвс",АО,3,FALSE)&gt;0,VLOOKUP("хвс",АО,4,FALSE),0)</f>
        <v>0</v>
      </c>
      <c r="G102" s="174">
        <f>VLOOKUP("хвс",АО,5,FALSE)</f>
        <v>0</v>
      </c>
      <c r="H102" s="173"/>
      <c r="I102" s="173"/>
      <c r="J102" s="173"/>
      <c r="L102" s="177"/>
    </row>
    <row r="103" spans="1:15" hidden="1" outlineLevel="2">
      <c r="A103" s="189">
        <f t="shared" ref="A103:A109" si="4">IF(VLOOKUP("хвс",АО,3,FALSE)&gt;0,VLOOKUP(O103,АО,2,FALSE),0)</f>
        <v>0</v>
      </c>
      <c r="B103" s="189"/>
      <c r="C103" s="189"/>
      <c r="D103" s="189"/>
      <c r="E103" s="189"/>
      <c r="F103" s="189"/>
      <c r="G103" s="189"/>
      <c r="H103" s="189"/>
      <c r="I103" s="189"/>
      <c r="J103" s="18">
        <f t="shared" ref="J103:J109" si="5">VLOOKUP(O103,АО,3,FALSE)</f>
        <v>0</v>
      </c>
      <c r="L103" s="177"/>
      <c r="O103" s="1" t="s">
        <v>119</v>
      </c>
    </row>
    <row r="104" spans="1:15" ht="18.75" hidden="1" customHeight="1" outlineLevel="2">
      <c r="A104" s="189">
        <f t="shared" si="4"/>
        <v>0</v>
      </c>
      <c r="B104" s="189"/>
      <c r="C104" s="189"/>
      <c r="D104" s="189"/>
      <c r="E104" s="189"/>
      <c r="F104" s="189"/>
      <c r="G104" s="189"/>
      <c r="H104" s="189"/>
      <c r="I104" s="189"/>
      <c r="J104" s="18">
        <f t="shared" si="5"/>
        <v>0</v>
      </c>
      <c r="L104" s="177"/>
      <c r="O104" s="1" t="s">
        <v>120</v>
      </c>
    </row>
    <row r="105" spans="1:15" ht="18.75" hidden="1" customHeight="1" outlineLevel="2">
      <c r="A105" s="189">
        <f t="shared" si="4"/>
        <v>0</v>
      </c>
      <c r="B105" s="189"/>
      <c r="C105" s="189"/>
      <c r="D105" s="189"/>
      <c r="E105" s="189"/>
      <c r="F105" s="189"/>
      <c r="G105" s="189"/>
      <c r="H105" s="189"/>
      <c r="I105" s="189"/>
      <c r="J105" s="18">
        <f t="shared" si="5"/>
        <v>0</v>
      </c>
      <c r="L105" s="177"/>
      <c r="O105" s="1" t="s">
        <v>121</v>
      </c>
    </row>
    <row r="106" spans="1:15" ht="36.75" hidden="1" customHeight="1" outlineLevel="2">
      <c r="A106" s="189">
        <f t="shared" si="4"/>
        <v>0</v>
      </c>
      <c r="B106" s="189"/>
      <c r="C106" s="189"/>
      <c r="D106" s="189"/>
      <c r="E106" s="189"/>
      <c r="F106" s="189"/>
      <c r="G106" s="189"/>
      <c r="H106" s="189"/>
      <c r="I106" s="189"/>
      <c r="J106" s="18">
        <f t="shared" si="5"/>
        <v>0</v>
      </c>
      <c r="L106" s="177"/>
      <c r="O106" s="1" t="s">
        <v>122</v>
      </c>
    </row>
    <row r="107" spans="1:15" ht="18.75" hidden="1" customHeight="1" outlineLevel="2">
      <c r="A107" s="189">
        <f t="shared" si="4"/>
        <v>0</v>
      </c>
      <c r="B107" s="189"/>
      <c r="C107" s="189"/>
      <c r="D107" s="189"/>
      <c r="E107" s="189"/>
      <c r="F107" s="189"/>
      <c r="G107" s="189"/>
      <c r="H107" s="189"/>
      <c r="I107" s="189"/>
      <c r="J107" s="18">
        <f t="shared" si="5"/>
        <v>0</v>
      </c>
      <c r="L107" s="177"/>
      <c r="O107" s="1" t="s">
        <v>123</v>
      </c>
    </row>
    <row r="108" spans="1:15" ht="37.5" hidden="1" customHeight="1" outlineLevel="2">
      <c r="A108" s="189">
        <f t="shared" si="4"/>
        <v>0</v>
      </c>
      <c r="B108" s="189"/>
      <c r="C108" s="189"/>
      <c r="D108" s="189"/>
      <c r="E108" s="189"/>
      <c r="F108" s="189"/>
      <c r="G108" s="189"/>
      <c r="H108" s="189"/>
      <c r="I108" s="189"/>
      <c r="J108" s="18">
        <f t="shared" si="5"/>
        <v>0</v>
      </c>
      <c r="L108" s="177"/>
      <c r="O108" s="1" t="s">
        <v>124</v>
      </c>
    </row>
    <row r="109" spans="1:15" ht="39.75" hidden="1" customHeight="1" outlineLevel="2">
      <c r="A109" s="189">
        <f t="shared" si="4"/>
        <v>0</v>
      </c>
      <c r="B109" s="189"/>
      <c r="C109" s="189"/>
      <c r="D109" s="189"/>
      <c r="E109" s="189"/>
      <c r="F109" s="189"/>
      <c r="G109" s="189"/>
      <c r="H109" s="189"/>
      <c r="I109" s="189"/>
      <c r="J109" s="18">
        <f t="shared" si="5"/>
        <v>0</v>
      </c>
      <c r="L109" s="177"/>
      <c r="O109" s="1" t="s">
        <v>125</v>
      </c>
    </row>
    <row r="110" spans="1:15" ht="27" hidden="1" customHeight="1" outlineLevel="1">
      <c r="A110" s="172">
        <f>IF(VLOOKUP("воо",АО,3,FALSE)&gt;0,"Водоотведение",0)</f>
        <v>0</v>
      </c>
      <c r="B110" s="172"/>
      <c r="C110" s="172"/>
      <c r="D110" s="173">
        <f>IF(VLOOKUP("воо",АО,3,FALSE)&gt;0,VLOOKUP("воо",АО,3,FALSE),0)</f>
        <v>0</v>
      </c>
      <c r="E110" s="173"/>
      <c r="F110" s="13">
        <f>IF(VLOOKUP("воо",АО,3,FALSE)&gt;0,VLOOKUP("воо",АО,4,FALSE),0)</f>
        <v>0</v>
      </c>
      <c r="G110" s="174">
        <f>VLOOKUP("воо",АО,5,FALSE)</f>
        <v>0</v>
      </c>
      <c r="H110" s="173"/>
      <c r="I110" s="173"/>
      <c r="J110" s="173"/>
      <c r="L110" s="177"/>
    </row>
    <row r="111" spans="1:15" hidden="1" outlineLevel="2">
      <c r="A111" s="168">
        <f t="shared" ref="A111:A117" si="6">IF(VLOOKUP("воо",АО,3,FALSE)&gt;0,VLOOKUP(O111,АО,2,FALSE),0)</f>
        <v>0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0</v>
      </c>
      <c r="L111" s="177"/>
      <c r="O111" s="1" t="s">
        <v>127</v>
      </c>
    </row>
    <row r="112" spans="1:15" ht="18.75" hidden="1" customHeight="1" outlineLevel="2">
      <c r="A112" s="168">
        <f t="shared" si="6"/>
        <v>0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0</v>
      </c>
      <c r="L112" s="177"/>
      <c r="O112" s="1" t="s">
        <v>128</v>
      </c>
    </row>
    <row r="113" spans="1:15" ht="19.5" hidden="1" customHeight="1" outlineLevel="2">
      <c r="A113" s="168">
        <f t="shared" si="6"/>
        <v>0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0</v>
      </c>
      <c r="L113" s="177"/>
      <c r="O113" s="1" t="s">
        <v>129</v>
      </c>
    </row>
    <row r="114" spans="1:15" ht="33" hidden="1" customHeight="1" outlineLevel="2">
      <c r="A114" s="168">
        <f t="shared" si="6"/>
        <v>0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0</v>
      </c>
      <c r="L114" s="177"/>
      <c r="O114" s="1" t="s">
        <v>130</v>
      </c>
    </row>
    <row r="115" spans="1:15" ht="18.75" hidden="1" customHeight="1" outlineLevel="2">
      <c r="A115" s="168">
        <f t="shared" si="6"/>
        <v>0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0</v>
      </c>
      <c r="L115" s="177"/>
      <c r="O115" s="1" t="s">
        <v>131</v>
      </c>
    </row>
    <row r="116" spans="1:15" ht="33.75" hidden="1" customHeight="1" outlineLevel="2">
      <c r="A116" s="168">
        <f t="shared" si="6"/>
        <v>0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77"/>
      <c r="O116" s="1" t="s">
        <v>132</v>
      </c>
    </row>
    <row r="117" spans="1:15" ht="32.25" hidden="1" customHeight="1" outlineLevel="2">
      <c r="A117" s="168">
        <f t="shared" si="6"/>
        <v>0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77"/>
      <c r="O117" s="1" t="s">
        <v>133</v>
      </c>
    </row>
    <row r="118" spans="1:15" ht="32.25" hidden="1" customHeight="1" outlineLevel="1">
      <c r="A118" s="172">
        <f>IF(VLOOKUP("тко",АО,3,FALSE)&gt;0,"Обращение с ТКО",0)</f>
        <v>0</v>
      </c>
      <c r="B118" s="172"/>
      <c r="C118" s="172"/>
      <c r="D118" s="173">
        <f>IF(VLOOKUP("тко",АО,3,FALSE)&gt;0,VLOOKUP("тко",АО,3,FALSE),0)</f>
        <v>0</v>
      </c>
      <c r="E118" s="173"/>
      <c r="F118" s="13">
        <f>IF(VLOOKUP("тко",АО,3,FALSE)&gt;0,VLOOKUP("тко",АО,4,FALSE),0)</f>
        <v>0</v>
      </c>
      <c r="G118" s="174">
        <f>VLOOKUP("тко",АО,5,FALSE)</f>
        <v>0</v>
      </c>
      <c r="H118" s="173"/>
      <c r="I118" s="173"/>
      <c r="J118" s="173"/>
      <c r="L118" s="45"/>
    </row>
    <row r="119" spans="1:15" ht="32.25" hidden="1" customHeight="1" outlineLevel="2">
      <c r="A119" s="168">
        <f t="shared" ref="A119:A125" si="8">IF(VLOOKUP("тко",АО,3,FALSE)&gt;0,VLOOKUP(O119,АО,2,FALSE),0)</f>
        <v>0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0</v>
      </c>
      <c r="L119" s="45"/>
      <c r="O119" s="1" t="s">
        <v>135</v>
      </c>
    </row>
    <row r="120" spans="1:15" ht="32.25" hidden="1" customHeight="1" outlineLevel="2">
      <c r="A120" s="168">
        <f t="shared" si="8"/>
        <v>0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0</v>
      </c>
      <c r="L120" s="45"/>
      <c r="O120" s="1" t="s">
        <v>136</v>
      </c>
    </row>
    <row r="121" spans="1:15" ht="32.25" hidden="1" customHeight="1" outlineLevel="2">
      <c r="A121" s="168">
        <f t="shared" si="8"/>
        <v>0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0</v>
      </c>
      <c r="L121" s="45"/>
      <c r="O121" s="1" t="s">
        <v>137</v>
      </c>
    </row>
    <row r="122" spans="1:15" ht="32.25" hidden="1" customHeight="1" outlineLevel="2">
      <c r="A122" s="168">
        <f t="shared" si="8"/>
        <v>0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0</v>
      </c>
      <c r="L122" s="45"/>
      <c r="O122" s="1" t="s">
        <v>138</v>
      </c>
    </row>
    <row r="123" spans="1:15" ht="32.25" hidden="1" customHeight="1" outlineLevel="2">
      <c r="A123" s="168">
        <f t="shared" si="8"/>
        <v>0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0</v>
      </c>
      <c r="L123" s="45"/>
      <c r="O123" s="1" t="s">
        <v>139</v>
      </c>
    </row>
    <row r="124" spans="1:15" ht="32.25" hidden="1" customHeight="1" outlineLevel="2">
      <c r="A124" s="168">
        <f t="shared" si="8"/>
        <v>0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5"/>
      <c r="O124" s="1" t="s">
        <v>140</v>
      </c>
    </row>
    <row r="125" spans="1:15" ht="32.25" hidden="1" customHeight="1" outlineLevel="2">
      <c r="A125" s="168">
        <f t="shared" si="8"/>
        <v>0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5"/>
      <c r="O125" s="1" t="s">
        <v>141</v>
      </c>
    </row>
    <row r="126" spans="1:15" ht="32.25" hidden="1" customHeight="1" outlineLevel="1">
      <c r="A126" s="172">
        <f>IF(VLOOKUP("гвс",АО,3,FALSE)&gt;0,"Горячее водоснабжение",0)</f>
        <v>0</v>
      </c>
      <c r="B126" s="172"/>
      <c r="C126" s="172"/>
      <c r="D126" s="173">
        <f>IF(VLOOKUP("гвс",АО,3,FALSE)&gt;0,VLOOKUP("гвс",АО,3,FALSE),0)</f>
        <v>0</v>
      </c>
      <c r="E126" s="173"/>
      <c r="F126" s="13">
        <f>IF(VLOOKUP("гвс",АО,3,FALSE)&gt;0,VLOOKUP("гвс",АО,4,FALSE),0)</f>
        <v>0</v>
      </c>
      <c r="G126" s="174">
        <f>VLOOKUP("гвс",АО,5,FALSE)</f>
        <v>0</v>
      </c>
      <c r="H126" s="173"/>
      <c r="I126" s="173"/>
      <c r="J126" s="173"/>
      <c r="L126" s="45"/>
    </row>
    <row r="127" spans="1:15" ht="32.25" hidden="1" customHeight="1" outlineLevel="2">
      <c r="A127" s="168">
        <f t="shared" ref="A127:A133" si="10">IF(VLOOKUP("гвс",АО,3,FALSE)&gt;0,VLOOKUP(O127,АО,2,FALSE),0)</f>
        <v>0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0</v>
      </c>
      <c r="L127" s="45"/>
      <c r="O127" s="1" t="s">
        <v>143</v>
      </c>
    </row>
    <row r="128" spans="1:15" ht="32.25" hidden="1" customHeight="1" outlineLevel="2">
      <c r="A128" s="168">
        <f t="shared" si="10"/>
        <v>0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0</v>
      </c>
      <c r="L128" s="45"/>
      <c r="O128" s="1" t="s">
        <v>144</v>
      </c>
    </row>
    <row r="129" spans="1:15" ht="32.25" hidden="1" customHeight="1" outlineLevel="2">
      <c r="A129" s="168">
        <f t="shared" si="10"/>
        <v>0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0</v>
      </c>
      <c r="L129" s="45"/>
      <c r="O129" s="1" t="s">
        <v>145</v>
      </c>
    </row>
    <row r="130" spans="1:15" ht="32.25" hidden="1" customHeight="1" outlineLevel="2">
      <c r="A130" s="168">
        <f t="shared" si="10"/>
        <v>0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0</v>
      </c>
      <c r="L130" s="45"/>
      <c r="O130" s="1" t="s">
        <v>146</v>
      </c>
    </row>
    <row r="131" spans="1:15" ht="32.25" hidden="1" customHeight="1" outlineLevel="2">
      <c r="A131" s="168">
        <f t="shared" si="10"/>
        <v>0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0</v>
      </c>
      <c r="L131" s="45"/>
      <c r="O131" s="1" t="s">
        <v>147</v>
      </c>
    </row>
    <row r="132" spans="1:15" ht="32.25" hidden="1" customHeight="1" outlineLevel="2">
      <c r="A132" s="168">
        <f t="shared" si="10"/>
        <v>0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5"/>
      <c r="O132" s="1" t="s">
        <v>148</v>
      </c>
    </row>
    <row r="133" spans="1:15" ht="32.25" hidden="1" customHeight="1" outlineLevel="2">
      <c r="A133" s="168">
        <f t="shared" si="10"/>
        <v>0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5"/>
      <c r="O133" s="1" t="s">
        <v>149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3"/>
      <c r="I134" s="173"/>
      <c r="J134" s="173"/>
      <c r="L134" s="45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5"/>
      <c r="O135" s="1" t="s">
        <v>151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5"/>
      <c r="O136" s="1" t="s">
        <v>152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5"/>
      <c r="O137" s="1" t="s">
        <v>153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5"/>
      <c r="O138" s="1" t="s">
        <v>154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5"/>
      <c r="O139" s="1" t="s">
        <v>155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5"/>
      <c r="O140" s="1" t="s">
        <v>156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5"/>
      <c r="O141" s="1" t="s">
        <v>157</v>
      </c>
    </row>
    <row r="143" spans="1:15">
      <c r="A143" s="11" t="s">
        <v>42</v>
      </c>
    </row>
    <row r="144" spans="1:15" ht="18.75" customHeight="1" outlineLevel="1">
      <c r="A144" s="168" t="s">
        <v>43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167</v>
      </c>
    </row>
    <row r="145" spans="1:15" ht="18.75" customHeight="1" outlineLevel="1">
      <c r="A145" s="168" t="s">
        <v>44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0</v>
      </c>
      <c r="L145" s="15"/>
      <c r="O145" t="s">
        <v>168</v>
      </c>
    </row>
    <row r="146" spans="1:15" ht="30" customHeight="1" outlineLevel="1">
      <c r="A146" s="168" t="s">
        <v>170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0</v>
      </c>
      <c r="O146" t="s">
        <v>169</v>
      </c>
    </row>
    <row r="149" spans="1:15" ht="52.5" customHeight="1">
      <c r="A149" s="193" t="s">
        <v>174</v>
      </c>
      <c r="B149" s="193"/>
      <c r="C149" s="193"/>
      <c r="D149" s="193"/>
      <c r="E149" s="193"/>
      <c r="F149" s="193"/>
      <c r="G149" s="193"/>
      <c r="H149" s="193"/>
      <c r="I149" s="193"/>
      <c r="J149" s="193"/>
    </row>
    <row r="151" spans="1:15">
      <c r="A151" s="1" t="s">
        <v>176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95" t="s">
        <v>190</v>
      </c>
      <c r="B154" s="195"/>
      <c r="C154" s="195"/>
      <c r="D154" s="195"/>
      <c r="E154" s="27">
        <f>ПТО!G1</f>
        <v>14727.83</v>
      </c>
    </row>
    <row r="155" spans="1:15" ht="34.5" customHeight="1">
      <c r="A155" s="194" t="s">
        <v>189</v>
      </c>
      <c r="B155" s="194"/>
      <c r="C155" s="194"/>
      <c r="D155" s="194"/>
      <c r="E155" s="28">
        <f>J13</f>
        <v>307680.98400000005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18</v>
      </c>
      <c r="B157" s="178"/>
      <c r="C157" s="178"/>
      <c r="D157" s="178"/>
      <c r="E157" s="178"/>
      <c r="F157" s="178" t="s">
        <v>19</v>
      </c>
      <c r="G157" s="178"/>
      <c r="H157" s="20" t="s">
        <v>55</v>
      </c>
      <c r="I157" s="178" t="s">
        <v>20</v>
      </c>
      <c r="J157" s="178"/>
    </row>
    <row r="158" spans="1:15" ht="29.25" customHeight="1">
      <c r="A158" s="170" t="str">
        <f t="shared" ref="A158:A163" si="14">IF(N158&gt;0,N158,0)</f>
        <v>Промышленная очистка кровли от снега (957 м2).</v>
      </c>
      <c r="B158" s="170"/>
      <c r="C158" s="170"/>
      <c r="D158" s="170"/>
      <c r="E158" s="170"/>
      <c r="F158" s="175">
        <f t="shared" ref="F158:F163" si="15">IF(ISERROR(VLOOKUP(A158,$A$28:$J$72,6,FALSE)),0,VLOOKUP(A158,$A$28:$J$72,6,FALSE))</f>
        <v>25839</v>
      </c>
      <c r="G158" s="175"/>
      <c r="H158" s="24" t="str">
        <f t="shared" ref="H158:H187" si="16">VLOOKUP(A158,$A$28:$J$72,8,FALSE)</f>
        <v>разово</v>
      </c>
      <c r="I158" s="171">
        <f t="shared" ref="I158:I161" si="17">VLOOKUP(A158,$A$28:$J$72,9,FALSE)</f>
        <v>1</v>
      </c>
      <c r="J158" s="171"/>
      <c r="M158" s="22" t="s">
        <v>70</v>
      </c>
      <c r="N158" s="1" t="str">
        <f t="array" ref="N158:N187">INDEX($O$43:$O$72,SMALL(IF($M$158=R43:R72,ROW(O43:O72)-42,""),ROW()-157))</f>
        <v>Промышленная очистка кровли от снега (957 м2).</v>
      </c>
    </row>
    <row r="159" spans="1:15" ht="28.5" customHeight="1">
      <c r="A159" s="170" t="str">
        <f t="shared" si="14"/>
        <v>Приобретение и замена ручки на тамбурной двери (1 подъезд).</v>
      </c>
      <c r="B159" s="170"/>
      <c r="C159" s="170"/>
      <c r="D159" s="170"/>
      <c r="E159" s="170"/>
      <c r="F159" s="175">
        <f t="shared" si="15"/>
        <v>2800</v>
      </c>
      <c r="G159" s="175"/>
      <c r="H159" s="24" t="str">
        <f t="shared" si="16"/>
        <v>разово</v>
      </c>
      <c r="I159" s="171">
        <f t="shared" si="17"/>
        <v>1</v>
      </c>
      <c r="J159" s="171"/>
      <c r="M159" s="22" t="s">
        <v>70</v>
      </c>
      <c r="N159" s="1" t="str">
        <v>Приобретение и замена ручки на тамбурной двери (1 подъезд).</v>
      </c>
    </row>
    <row r="160" spans="1:15" ht="28.5" customHeight="1">
      <c r="A160" s="170" t="str">
        <f t="shared" si="14"/>
        <v>Механизированная уборка и вывоз снега с придомовой территории.</v>
      </c>
      <c r="B160" s="170"/>
      <c r="C160" s="170"/>
      <c r="D160" s="170"/>
      <c r="E160" s="170"/>
      <c r="F160" s="175">
        <f t="shared" si="15"/>
        <v>41213</v>
      </c>
      <c r="G160" s="175"/>
      <c r="H160" s="24" t="str">
        <f t="shared" si="16"/>
        <v>разово</v>
      </c>
      <c r="I160" s="171">
        <f t="shared" si="17"/>
        <v>1</v>
      </c>
      <c r="J160" s="171"/>
      <c r="M160" s="22" t="s">
        <v>70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0" t="str">
        <f>IF(N161&gt;0,N161,0)</f>
        <v>Приобретение и установка фиксаторов на тамбурной двери (1 и 2 подъезды).</v>
      </c>
      <c r="B161" s="170"/>
      <c r="C161" s="170"/>
      <c r="D161" s="170"/>
      <c r="E161" s="170"/>
      <c r="F161" s="175">
        <f t="shared" si="15"/>
        <v>930</v>
      </c>
      <c r="G161" s="175"/>
      <c r="H161" s="24" t="str">
        <f t="shared" si="16"/>
        <v>разово</v>
      </c>
      <c r="I161" s="171">
        <f t="shared" si="17"/>
        <v>1</v>
      </c>
      <c r="J161" s="171"/>
      <c r="M161" s="22" t="s">
        <v>70</v>
      </c>
      <c r="N161" s="1" t="str">
        <v>Приобретение и установка фиксаторов на тамбурной двери (1 и 2 подъезды).</v>
      </c>
    </row>
    <row r="162" spans="1:14" ht="28.5" customHeight="1">
      <c r="A162" s="170" t="str">
        <f t="shared" si="14"/>
        <v>Ремонт регистратора, настройка камер и замена блока питания системы видеонаблюдения.</v>
      </c>
      <c r="B162" s="170"/>
      <c r="C162" s="170"/>
      <c r="D162" s="170"/>
      <c r="E162" s="170"/>
      <c r="F162" s="175">
        <f t="shared" si="15"/>
        <v>13500</v>
      </c>
      <c r="G162" s="175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70</v>
      </c>
      <c r="N162" s="1" t="str">
        <v>Ремонт регистратора, настройка камер и замена блока питания системы видеонаблюдения.</v>
      </c>
    </row>
    <row r="163" spans="1:14" ht="28.5" customHeight="1">
      <c r="A163" s="170" t="str">
        <f t="shared" si="14"/>
        <v>Замена блока питания прибора учета тепловой энергии.</v>
      </c>
      <c r="B163" s="170"/>
      <c r="C163" s="170"/>
      <c r="D163" s="170"/>
      <c r="E163" s="170"/>
      <c r="F163" s="175">
        <f t="shared" si="15"/>
        <v>7650</v>
      </c>
      <c r="G163" s="175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70</v>
      </c>
      <c r="N163" s="1" t="str">
        <v>Замена блока питания прибора учета тепловой энергии.</v>
      </c>
    </row>
    <row r="164" spans="1:14" ht="28.5" customHeight="1">
      <c r="A164" s="170" t="str">
        <f t="shared" ref="A164:A187" si="18">IF(N164&gt;0,N164,0)</f>
        <v>Приобретение и замена кранов в ИТП на сбросники.</v>
      </c>
      <c r="B164" s="170"/>
      <c r="C164" s="170"/>
      <c r="D164" s="170"/>
      <c r="E164" s="170"/>
      <c r="F164" s="175">
        <f t="shared" ref="F164:F187" si="19">IF(ISERROR(VLOOKUP(A164,$A$28:$J$72,6,FALSE)),0,VLOOKUP(A164,$A$28:$J$72,6,FALSE))</f>
        <v>2625</v>
      </c>
      <c r="G164" s="175"/>
      <c r="H164" s="29" t="str">
        <f t="shared" si="16"/>
        <v>разово</v>
      </c>
      <c r="I164" s="171">
        <f t="shared" ref="I164:I187" si="20">VLOOKUP(A164,$A$28:$J$72,9,FALSE)</f>
        <v>1</v>
      </c>
      <c r="J164" s="171"/>
      <c r="M164" s="22" t="s">
        <v>70</v>
      </c>
      <c r="N164" s="1" t="str">
        <v>Приобретение и замена кранов в ИТП на сбросники.</v>
      </c>
    </row>
    <row r="165" spans="1:14" ht="28.5" hidden="1" customHeight="1">
      <c r="A165" s="170">
        <f t="shared" si="18"/>
        <v>0</v>
      </c>
      <c r="B165" s="170"/>
      <c r="C165" s="170"/>
      <c r="D165" s="170"/>
      <c r="E165" s="170"/>
      <c r="F165" s="175">
        <f t="shared" si="19"/>
        <v>0</v>
      </c>
      <c r="G165" s="175"/>
      <c r="H165" s="29" t="e">
        <f t="shared" si="16"/>
        <v>#N/A</v>
      </c>
      <c r="I165" s="171" t="e">
        <f t="shared" si="20"/>
        <v>#N/A</v>
      </c>
      <c r="J165" s="171"/>
      <c r="M165" s="22" t="s">
        <v>70</v>
      </c>
      <c r="N165" s="1">
        <v>0</v>
      </c>
    </row>
    <row r="166" spans="1:14" ht="28.5" hidden="1" customHeight="1">
      <c r="A166" s="170">
        <f t="shared" si="18"/>
        <v>0</v>
      </c>
      <c r="B166" s="170"/>
      <c r="C166" s="170"/>
      <c r="D166" s="170"/>
      <c r="E166" s="170"/>
      <c r="F166" s="175">
        <f t="shared" si="19"/>
        <v>0</v>
      </c>
      <c r="G166" s="175"/>
      <c r="H166" s="29" t="e">
        <f t="shared" si="16"/>
        <v>#N/A</v>
      </c>
      <c r="I166" s="171" t="e">
        <f t="shared" si="20"/>
        <v>#N/A</v>
      </c>
      <c r="J166" s="171"/>
      <c r="M166" s="22" t="s">
        <v>70</v>
      </c>
      <c r="N166" s="1">
        <v>0</v>
      </c>
    </row>
    <row r="167" spans="1:14" ht="28.5" hidden="1" customHeight="1">
      <c r="A167" s="170">
        <f t="shared" si="18"/>
        <v>0</v>
      </c>
      <c r="B167" s="170"/>
      <c r="C167" s="170"/>
      <c r="D167" s="170"/>
      <c r="E167" s="170"/>
      <c r="F167" s="175">
        <f t="shared" si="19"/>
        <v>0</v>
      </c>
      <c r="G167" s="175"/>
      <c r="H167" s="29" t="e">
        <f t="shared" si="16"/>
        <v>#N/A</v>
      </c>
      <c r="I167" s="171" t="e">
        <f t="shared" si="20"/>
        <v>#N/A</v>
      </c>
      <c r="J167" s="171"/>
      <c r="M167" s="22" t="s">
        <v>70</v>
      </c>
      <c r="N167" s="1">
        <v>0</v>
      </c>
    </row>
    <row r="168" spans="1:14" ht="28.5" hidden="1" customHeight="1">
      <c r="A168" s="170">
        <f t="shared" si="18"/>
        <v>0</v>
      </c>
      <c r="B168" s="170"/>
      <c r="C168" s="170"/>
      <c r="D168" s="170"/>
      <c r="E168" s="170"/>
      <c r="F168" s="175">
        <f t="shared" si="19"/>
        <v>0</v>
      </c>
      <c r="G168" s="175"/>
      <c r="H168" s="29" t="e">
        <f t="shared" si="16"/>
        <v>#N/A</v>
      </c>
      <c r="I168" s="171" t="e">
        <f t="shared" si="20"/>
        <v>#N/A</v>
      </c>
      <c r="J168" s="171"/>
      <c r="M168" s="22" t="s">
        <v>70</v>
      </c>
      <c r="N168" s="1">
        <v>0</v>
      </c>
    </row>
    <row r="169" spans="1:14" ht="28.5" hidden="1" customHeight="1">
      <c r="A169" s="170">
        <f t="shared" si="18"/>
        <v>0</v>
      </c>
      <c r="B169" s="170"/>
      <c r="C169" s="170"/>
      <c r="D169" s="170"/>
      <c r="E169" s="170"/>
      <c r="F169" s="175">
        <f t="shared" si="19"/>
        <v>0</v>
      </c>
      <c r="G169" s="175"/>
      <c r="H169" s="29" t="e">
        <f t="shared" si="16"/>
        <v>#N/A</v>
      </c>
      <c r="I169" s="171" t="e">
        <f t="shared" si="20"/>
        <v>#N/A</v>
      </c>
      <c r="J169" s="171"/>
      <c r="M169" s="22" t="s">
        <v>70</v>
      </c>
      <c r="N169" s="1">
        <v>0</v>
      </c>
    </row>
    <row r="170" spans="1:14" ht="28.5" hidden="1" customHeight="1">
      <c r="A170" s="170">
        <f t="shared" si="18"/>
        <v>0</v>
      </c>
      <c r="B170" s="170"/>
      <c r="C170" s="170"/>
      <c r="D170" s="170"/>
      <c r="E170" s="170"/>
      <c r="F170" s="175">
        <f t="shared" si="19"/>
        <v>0</v>
      </c>
      <c r="G170" s="175"/>
      <c r="H170" s="29" t="e">
        <f t="shared" si="16"/>
        <v>#N/A</v>
      </c>
      <c r="I170" s="171" t="e">
        <f t="shared" si="20"/>
        <v>#N/A</v>
      </c>
      <c r="J170" s="171"/>
      <c r="M170" s="22" t="s">
        <v>70</v>
      </c>
      <c r="N170" s="1">
        <v>0</v>
      </c>
    </row>
    <row r="171" spans="1:14" ht="28.5" hidden="1" customHeight="1">
      <c r="A171" s="170">
        <f t="shared" si="18"/>
        <v>0</v>
      </c>
      <c r="B171" s="170"/>
      <c r="C171" s="170"/>
      <c r="D171" s="170"/>
      <c r="E171" s="170"/>
      <c r="F171" s="175">
        <f t="shared" si="19"/>
        <v>0</v>
      </c>
      <c r="G171" s="175"/>
      <c r="H171" s="29" t="e">
        <f t="shared" si="16"/>
        <v>#N/A</v>
      </c>
      <c r="I171" s="171" t="e">
        <f t="shared" si="20"/>
        <v>#N/A</v>
      </c>
      <c r="J171" s="171"/>
      <c r="M171" s="22" t="s">
        <v>70</v>
      </c>
      <c r="N171" s="1">
        <v>0</v>
      </c>
    </row>
    <row r="172" spans="1:14" ht="28.5" hidden="1" customHeight="1">
      <c r="A172" s="170">
        <f t="shared" si="18"/>
        <v>0</v>
      </c>
      <c r="B172" s="170"/>
      <c r="C172" s="170"/>
      <c r="D172" s="170"/>
      <c r="E172" s="170"/>
      <c r="F172" s="175">
        <f t="shared" si="19"/>
        <v>0</v>
      </c>
      <c r="G172" s="175"/>
      <c r="H172" s="29" t="e">
        <f t="shared" si="16"/>
        <v>#N/A</v>
      </c>
      <c r="I172" s="171" t="e">
        <f t="shared" si="20"/>
        <v>#N/A</v>
      </c>
      <c r="J172" s="171"/>
      <c r="M172" s="22" t="s">
        <v>70</v>
      </c>
      <c r="N172" s="1">
        <v>0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5">
        <f t="shared" si="19"/>
        <v>0</v>
      </c>
      <c r="G173" s="175"/>
      <c r="H173" s="29" t="e">
        <f t="shared" si="16"/>
        <v>#N/A</v>
      </c>
      <c r="I173" s="171" t="e">
        <f t="shared" si="20"/>
        <v>#N/A</v>
      </c>
      <c r="J173" s="171"/>
      <c r="M173" s="22" t="s">
        <v>70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5">
        <f t="shared" si="19"/>
        <v>0</v>
      </c>
      <c r="G174" s="175"/>
      <c r="H174" s="29" t="e">
        <f t="shared" si="16"/>
        <v>#N/A</v>
      </c>
      <c r="I174" s="171" t="e">
        <f t="shared" si="20"/>
        <v>#N/A</v>
      </c>
      <c r="J174" s="171"/>
      <c r="M174" s="22" t="s">
        <v>70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5">
        <f t="shared" si="19"/>
        <v>0</v>
      </c>
      <c r="G175" s="175"/>
      <c r="H175" s="29" t="e">
        <f t="shared" si="16"/>
        <v>#N/A</v>
      </c>
      <c r="I175" s="171" t="e">
        <f t="shared" si="20"/>
        <v>#N/A</v>
      </c>
      <c r="J175" s="171"/>
      <c r="M175" s="22" t="s">
        <v>70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5">
        <f t="shared" si="19"/>
        <v>0</v>
      </c>
      <c r="G176" s="175"/>
      <c r="H176" s="29" t="e">
        <f t="shared" si="16"/>
        <v>#N/A</v>
      </c>
      <c r="I176" s="171" t="e">
        <f t="shared" si="20"/>
        <v>#N/A</v>
      </c>
      <c r="J176" s="171"/>
      <c r="M176" s="22" t="s">
        <v>70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5">
        <f t="shared" si="19"/>
        <v>0</v>
      </c>
      <c r="G177" s="175"/>
      <c r="H177" s="29" t="e">
        <f t="shared" si="16"/>
        <v>#N/A</v>
      </c>
      <c r="I177" s="171" t="e">
        <f t="shared" si="20"/>
        <v>#N/A</v>
      </c>
      <c r="J177" s="171"/>
      <c r="M177" s="22" t="s">
        <v>70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5">
        <f t="shared" si="19"/>
        <v>0</v>
      </c>
      <c r="G178" s="175"/>
      <c r="H178" s="29" t="e">
        <f t="shared" si="16"/>
        <v>#N/A</v>
      </c>
      <c r="I178" s="171" t="e">
        <f t="shared" si="20"/>
        <v>#N/A</v>
      </c>
      <c r="J178" s="171"/>
      <c r="M178" s="22" t="s">
        <v>70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5">
        <f t="shared" si="19"/>
        <v>0</v>
      </c>
      <c r="G179" s="175"/>
      <c r="H179" s="29" t="e">
        <f t="shared" si="16"/>
        <v>#N/A</v>
      </c>
      <c r="I179" s="171" t="e">
        <f t="shared" si="20"/>
        <v>#N/A</v>
      </c>
      <c r="J179" s="171"/>
      <c r="M179" s="22" t="s">
        <v>70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5">
        <f t="shared" si="19"/>
        <v>0</v>
      </c>
      <c r="G180" s="175"/>
      <c r="H180" s="29" t="e">
        <f t="shared" si="16"/>
        <v>#N/A</v>
      </c>
      <c r="I180" s="171" t="e">
        <f t="shared" si="20"/>
        <v>#N/A</v>
      </c>
      <c r="J180" s="171"/>
      <c r="M180" s="22" t="s">
        <v>70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5">
        <f t="shared" si="19"/>
        <v>0</v>
      </c>
      <c r="G181" s="175"/>
      <c r="H181" s="29" t="e">
        <f t="shared" si="16"/>
        <v>#N/A</v>
      </c>
      <c r="I181" s="171" t="e">
        <f t="shared" si="20"/>
        <v>#N/A</v>
      </c>
      <c r="J181" s="171"/>
      <c r="M181" s="22" t="s">
        <v>70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5">
        <f t="shared" si="19"/>
        <v>0</v>
      </c>
      <c r="G182" s="175"/>
      <c r="H182" s="29" t="e">
        <f t="shared" si="16"/>
        <v>#N/A</v>
      </c>
      <c r="I182" s="171" t="e">
        <f t="shared" si="20"/>
        <v>#N/A</v>
      </c>
      <c r="J182" s="171"/>
      <c r="M182" s="22" t="s">
        <v>70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5">
        <f t="shared" si="19"/>
        <v>0</v>
      </c>
      <c r="G183" s="175"/>
      <c r="H183" s="29" t="e">
        <f t="shared" si="16"/>
        <v>#N/A</v>
      </c>
      <c r="I183" s="171" t="e">
        <f t="shared" si="20"/>
        <v>#N/A</v>
      </c>
      <c r="J183" s="171"/>
      <c r="M183" s="22" t="s">
        <v>70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5">
        <f t="shared" si="19"/>
        <v>0</v>
      </c>
      <c r="G184" s="175"/>
      <c r="H184" s="29" t="e">
        <f t="shared" si="16"/>
        <v>#N/A</v>
      </c>
      <c r="I184" s="171" t="e">
        <f t="shared" si="20"/>
        <v>#N/A</v>
      </c>
      <c r="J184" s="171"/>
      <c r="M184" s="22" t="s">
        <v>70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5">
        <f t="shared" si="19"/>
        <v>0</v>
      </c>
      <c r="G185" s="175"/>
      <c r="H185" s="29" t="e">
        <f t="shared" si="16"/>
        <v>#N/A</v>
      </c>
      <c r="I185" s="171" t="e">
        <f t="shared" si="20"/>
        <v>#N/A</v>
      </c>
      <c r="J185" s="171"/>
      <c r="M185" s="22" t="s">
        <v>70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5">
        <f t="shared" si="19"/>
        <v>0</v>
      </c>
      <c r="G186" s="175"/>
      <c r="H186" s="29" t="e">
        <f t="shared" si="16"/>
        <v>#N/A</v>
      </c>
      <c r="I186" s="171" t="e">
        <f t="shared" si="20"/>
        <v>#N/A</v>
      </c>
      <c r="J186" s="171"/>
      <c r="M186" s="22" t="s">
        <v>70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5">
        <f t="shared" si="19"/>
        <v>0</v>
      </c>
      <c r="G187" s="175"/>
      <c r="H187" s="29" t="e">
        <f t="shared" si="16"/>
        <v>#N/A</v>
      </c>
      <c r="I187" s="171" t="e">
        <f t="shared" si="20"/>
        <v>#N/A</v>
      </c>
      <c r="J187" s="171"/>
      <c r="M187" s="22" t="s">
        <v>70</v>
      </c>
      <c r="N187" s="1">
        <v>0</v>
      </c>
    </row>
    <row r="188" spans="1:14" ht="29.25" customHeight="1">
      <c r="A188" s="102" t="s">
        <v>171</v>
      </c>
    </row>
    <row r="189" spans="1:14" ht="29.25" customHeight="1">
      <c r="A189" s="102" t="s">
        <v>171</v>
      </c>
    </row>
    <row r="190" spans="1:14" ht="36.75" customHeight="1">
      <c r="A190" s="195" t="s">
        <v>188</v>
      </c>
      <c r="B190" s="195"/>
      <c r="C190" s="195"/>
      <c r="D190" s="195"/>
      <c r="E190" s="27">
        <f>SUM(F158:G187)</f>
        <v>94557</v>
      </c>
    </row>
    <row r="191" spans="1:14" ht="51.75" customHeight="1">
      <c r="A191" s="195" t="s">
        <v>187</v>
      </c>
      <c r="B191" s="195"/>
      <c r="C191" s="195"/>
      <c r="D191" s="195"/>
      <c r="E191" s="27">
        <f>E190+E154-E155</f>
        <v>-198396.15400000004</v>
      </c>
    </row>
    <row r="192" spans="1:14">
      <c r="A192" s="102" t="s">
        <v>171</v>
      </c>
    </row>
    <row r="193" spans="1:10" ht="62.25" customHeight="1">
      <c r="A193" s="169" t="s">
        <v>186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47">
        <f>ПТО!G12</f>
        <v>4000</v>
      </c>
      <c r="I194" s="48" t="s">
        <v>72</v>
      </c>
    </row>
    <row r="195" spans="1:10" ht="18.75" customHeight="1">
      <c r="A195" s="167" t="str">
        <f>ПТО!F13</f>
        <v xml:space="preserve">  -  механизированная уборка и вывоз снега с придомовой территории</v>
      </c>
      <c r="B195" s="167"/>
      <c r="C195" s="167"/>
      <c r="D195" s="167"/>
      <c r="E195" s="167"/>
      <c r="F195" s="167"/>
      <c r="G195" s="167"/>
      <c r="H195" s="47">
        <f>ПТО!G13</f>
        <v>32000</v>
      </c>
      <c r="I195" s="48" t="s">
        <v>72</v>
      </c>
    </row>
    <row r="196" spans="1:10" ht="18.75" customHeight="1">
      <c r="A196" s="167" t="str">
        <f>ПТО!F14</f>
        <v xml:space="preserve">  -  очистка кровли от снега</v>
      </c>
      <c r="B196" s="167"/>
      <c r="C196" s="167"/>
      <c r="D196" s="167"/>
      <c r="E196" s="167"/>
      <c r="F196" s="167"/>
      <c r="G196" s="167"/>
      <c r="H196" s="47">
        <f>ПТО!G14</f>
        <v>10000</v>
      </c>
      <c r="I196" s="48" t="s">
        <v>72</v>
      </c>
    </row>
    <row r="197" spans="1:10" ht="18.75" customHeight="1">
      <c r="A197" s="167" t="str">
        <f>ПТО!F15</f>
        <v xml:space="preserve">  -  замена крана шарового приварного в ИТП</v>
      </c>
      <c r="B197" s="167"/>
      <c r="C197" s="167"/>
      <c r="D197" s="167"/>
      <c r="E197" s="167"/>
      <c r="F197" s="167"/>
      <c r="G197" s="167"/>
      <c r="H197" s="47">
        <f>ПТО!G15</f>
        <v>12000</v>
      </c>
      <c r="I197" s="48" t="s">
        <v>72</v>
      </c>
    </row>
    <row r="198" spans="1:10" ht="18.75" hidden="1" customHeight="1">
      <c r="A198" s="167" t="str">
        <f>ПТО!F16</f>
        <v xml:space="preserve">  -  устройство греющего кабеля на кровле </v>
      </c>
      <c r="B198" s="167"/>
      <c r="C198" s="167"/>
      <c r="D198" s="167"/>
      <c r="E198" s="167"/>
      <c r="F198" s="167"/>
      <c r="G198" s="167"/>
      <c r="H198" s="47">
        <f>ПТО!G16</f>
        <v>50000</v>
      </c>
      <c r="I198" s="50" t="s">
        <v>72</v>
      </c>
    </row>
    <row r="199" spans="1:10" ht="18.75" hidden="1" customHeight="1">
      <c r="A199" s="167" t="str">
        <f>ПТО!F17</f>
        <v xml:space="preserve">  -  устройство снегоуловителей на кровле</v>
      </c>
      <c r="B199" s="167"/>
      <c r="C199" s="167"/>
      <c r="D199" s="167"/>
      <c r="E199" s="167"/>
      <c r="F199" s="167"/>
      <c r="G199" s="167"/>
      <c r="H199" s="47">
        <f>ПТО!G17</f>
        <v>100000</v>
      </c>
      <c r="I199" s="48" t="s">
        <v>72</v>
      </c>
    </row>
    <row r="200" spans="1:10" hidden="1">
      <c r="A200" s="167" t="str">
        <f>ПТО!F18</f>
        <v xml:space="preserve">  -  ремонт подъезда (частичная укладка керамогранита на пол)</v>
      </c>
      <c r="B200" s="167"/>
      <c r="C200" s="167"/>
      <c r="D200" s="167"/>
      <c r="E200" s="167"/>
      <c r="F200" s="167"/>
      <c r="G200" s="167"/>
      <c r="H200" s="47">
        <f>ПТО!G18</f>
        <v>150000</v>
      </c>
      <c r="I200" s="48" t="s">
        <v>72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47">
        <f>ПТО!G19</f>
        <v>0</v>
      </c>
      <c r="I201" s="48" t="s">
        <v>72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47">
        <f>ПТО!G20</f>
        <v>0</v>
      </c>
      <c r="I202" s="48" t="s">
        <v>72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47">
        <f>ПТО!G21</f>
        <v>0</v>
      </c>
      <c r="I203" s="48" t="s">
        <v>72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47">
        <f>ПТО!G22</f>
        <v>0</v>
      </c>
      <c r="I204" s="48" t="s">
        <v>72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47">
        <f>ПТО!G23</f>
        <v>0</v>
      </c>
      <c r="I205" s="48" t="s">
        <v>72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47">
        <f>ПТО!G24</f>
        <v>0</v>
      </c>
      <c r="I206" s="48" t="s">
        <v>72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47">
        <f>ПТО!G25</f>
        <v>0</v>
      </c>
      <c r="I207" s="48" t="s">
        <v>72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47">
        <f>ПТО!G26</f>
        <v>0</v>
      </c>
      <c r="I208" s="48" t="s">
        <v>72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47">
        <f>ПТО!G27</f>
        <v>0</v>
      </c>
      <c r="I209" s="48" t="s">
        <v>72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47">
        <f>ПТО!G28</f>
        <v>0</v>
      </c>
      <c r="I210" s="48" t="s">
        <v>72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47">
        <f>ПТО!G29</f>
        <v>0</v>
      </c>
      <c r="I211" s="48" t="s">
        <v>72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47">
        <f>ПТО!G30</f>
        <v>0</v>
      </c>
      <c r="I212" s="48" t="s">
        <v>72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47">
        <f>ПТО!G31</f>
        <v>0</v>
      </c>
      <c r="I213" s="48" t="s">
        <v>72</v>
      </c>
    </row>
    <row r="214" spans="1:9">
      <c r="A214" s="51" t="s">
        <v>73</v>
      </c>
      <c r="B214" s="52"/>
      <c r="C214" s="52"/>
      <c r="D214" s="52"/>
      <c r="E214" s="52"/>
      <c r="F214" s="52"/>
      <c r="G214" s="52"/>
      <c r="H214" s="53">
        <f>SUM(H194:H213)</f>
        <v>358000</v>
      </c>
      <c r="I214" s="54" t="s">
        <v>74</v>
      </c>
    </row>
  </sheetData>
  <sheetProtection algorithmName="SHA-512" hashValue="GHviidAf4W3BDo2QTXYP8Kj6/FNTAjL1zjDwK7p6mpejoHCJYGeAsG+b+7KjvLjTAolldkFWfD/VpQtuhGHjSA==" saltValue="q1MEqVgD8nA0R5pmS5KzE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4" t="s">
        <v>18</v>
      </c>
      <c r="B1" s="134" t="s">
        <v>55</v>
      </c>
      <c r="C1" s="134" t="s">
        <v>20</v>
      </c>
      <c r="D1" s="134" t="s">
        <v>19</v>
      </c>
      <c r="E1" s="135"/>
      <c r="F1" s="98" t="s">
        <v>190</v>
      </c>
      <c r="G1" s="99">
        <f>14727.83</f>
        <v>14727.83</v>
      </c>
    </row>
    <row r="2" spans="1:12" ht="18.75" customHeight="1">
      <c r="A2" s="136" t="s">
        <v>180</v>
      </c>
      <c r="B2" s="137" t="s">
        <v>177</v>
      </c>
      <c r="C2" s="138">
        <v>1</v>
      </c>
      <c r="D2" s="139">
        <v>25839</v>
      </c>
      <c r="E2" s="140" t="s">
        <v>192</v>
      </c>
      <c r="F2" s="130" t="s">
        <v>191</v>
      </c>
      <c r="G2" s="32"/>
      <c r="L2" s="33" t="str">
        <f t="shared" ref="L2:L22" si="0">IF(A2&gt;0,"ТР",0)</f>
        <v>ТР</v>
      </c>
    </row>
    <row r="3" spans="1:12" ht="18.75" customHeight="1">
      <c r="A3" s="141" t="s">
        <v>195</v>
      </c>
      <c r="B3" s="137" t="s">
        <v>177</v>
      </c>
      <c r="C3" s="138">
        <v>1</v>
      </c>
      <c r="D3" s="139">
        <v>2800</v>
      </c>
      <c r="E3" s="140" t="s">
        <v>193</v>
      </c>
      <c r="F3" s="30"/>
      <c r="G3" s="30"/>
      <c r="L3" s="33" t="str">
        <f t="shared" si="0"/>
        <v>ТР</v>
      </c>
    </row>
    <row r="4" spans="1:12" ht="18.75" customHeight="1">
      <c r="A4" s="142" t="s">
        <v>178</v>
      </c>
      <c r="B4" s="137" t="s">
        <v>177</v>
      </c>
      <c r="C4" s="138">
        <v>1</v>
      </c>
      <c r="D4" s="139">
        <v>41213</v>
      </c>
      <c r="E4" s="143" t="s">
        <v>194</v>
      </c>
      <c r="F4" s="30"/>
      <c r="G4" s="30"/>
      <c r="L4" s="33" t="str">
        <f t="shared" si="0"/>
        <v>ТР</v>
      </c>
    </row>
    <row r="5" spans="1:12" ht="18.75" customHeight="1">
      <c r="A5" s="141" t="s">
        <v>196</v>
      </c>
      <c r="B5" s="144" t="s">
        <v>177</v>
      </c>
      <c r="C5" s="138">
        <v>1</v>
      </c>
      <c r="D5" s="139">
        <v>930</v>
      </c>
      <c r="E5" s="143" t="s">
        <v>197</v>
      </c>
      <c r="F5" s="42"/>
      <c r="G5" s="42"/>
      <c r="K5" s="44"/>
      <c r="L5" s="33" t="str">
        <f t="shared" si="0"/>
        <v>ТР</v>
      </c>
    </row>
    <row r="6" spans="1:12" ht="18.75" customHeight="1">
      <c r="A6" s="145" t="s">
        <v>198</v>
      </c>
      <c r="B6" s="146" t="s">
        <v>177</v>
      </c>
      <c r="C6" s="147">
        <v>1</v>
      </c>
      <c r="D6" s="148">
        <v>13500</v>
      </c>
      <c r="E6" s="149" t="s">
        <v>199</v>
      </c>
      <c r="F6" s="42"/>
      <c r="G6" s="42"/>
      <c r="K6" s="44"/>
      <c r="L6" s="33" t="str">
        <f t="shared" si="0"/>
        <v>ТР</v>
      </c>
    </row>
    <row r="7" spans="1:12" ht="18.75" customHeight="1">
      <c r="A7" s="150" t="s">
        <v>200</v>
      </c>
      <c r="B7" s="151" t="s">
        <v>177</v>
      </c>
      <c r="C7" s="152">
        <v>1</v>
      </c>
      <c r="D7" s="153">
        <v>7650</v>
      </c>
      <c r="E7" s="154" t="s">
        <v>201</v>
      </c>
      <c r="F7" s="43"/>
      <c r="G7" s="43"/>
      <c r="K7" s="44"/>
      <c r="L7" s="33" t="str">
        <f t="shared" si="0"/>
        <v>ТР</v>
      </c>
    </row>
    <row r="8" spans="1:12" ht="18.75" customHeight="1">
      <c r="A8" s="155" t="s">
        <v>202</v>
      </c>
      <c r="B8" s="156" t="s">
        <v>177</v>
      </c>
      <c r="C8" s="152">
        <v>1</v>
      </c>
      <c r="D8" s="153">
        <v>2625</v>
      </c>
      <c r="E8" s="157" t="s">
        <v>203</v>
      </c>
      <c r="F8" s="43"/>
      <c r="G8" s="43"/>
      <c r="K8" s="41"/>
      <c r="L8" s="33" t="str">
        <f t="shared" si="0"/>
        <v>ТР</v>
      </c>
    </row>
    <row r="9" spans="1:12">
      <c r="A9" s="132"/>
      <c r="B9" s="131"/>
      <c r="C9" s="125"/>
      <c r="D9" s="44"/>
      <c r="E9" s="133"/>
      <c r="F9" s="42"/>
      <c r="G9" s="42"/>
      <c r="K9" s="41"/>
      <c r="L9" s="33">
        <f t="shared" si="0"/>
        <v>0</v>
      </c>
    </row>
    <row r="10" spans="1:12">
      <c r="A10" s="116"/>
      <c r="B10" s="115"/>
      <c r="C10" s="115"/>
      <c r="D10" s="117"/>
      <c r="E10" s="119"/>
      <c r="L10" s="33">
        <f t="shared" si="0"/>
        <v>0</v>
      </c>
    </row>
    <row r="11" spans="1:12" ht="94.5">
      <c r="A11" s="116"/>
      <c r="B11" s="115"/>
      <c r="C11" s="115"/>
      <c r="D11" s="117"/>
      <c r="E11" s="119"/>
      <c r="F11" s="109" t="s">
        <v>186</v>
      </c>
      <c r="G11" s="109"/>
      <c r="L11" s="33">
        <f t="shared" si="0"/>
        <v>0</v>
      </c>
    </row>
    <row r="12" spans="1:12" ht="31.5">
      <c r="A12" s="30"/>
      <c r="F12" s="110" t="s">
        <v>71</v>
      </c>
      <c r="G12" s="111">
        <v>4000</v>
      </c>
      <c r="L12" s="33">
        <f t="shared" si="0"/>
        <v>0</v>
      </c>
    </row>
    <row r="13" spans="1:12" ht="31.5">
      <c r="A13" s="30"/>
      <c r="F13" s="110" t="s">
        <v>179</v>
      </c>
      <c r="G13" s="124">
        <v>32000</v>
      </c>
      <c r="L13" s="33">
        <f t="shared" si="0"/>
        <v>0</v>
      </c>
    </row>
    <row r="14" spans="1:12" ht="15.75">
      <c r="A14" s="30"/>
      <c r="F14" s="163" t="s">
        <v>185</v>
      </c>
      <c r="G14" s="164">
        <v>10000</v>
      </c>
      <c r="L14" s="33">
        <f t="shared" si="0"/>
        <v>0</v>
      </c>
    </row>
    <row r="15" spans="1:12" ht="31.5">
      <c r="A15" s="30"/>
      <c r="F15" s="163" t="s">
        <v>205</v>
      </c>
      <c r="G15" s="164">
        <v>12000</v>
      </c>
      <c r="L15" s="33">
        <f t="shared" si="0"/>
        <v>0</v>
      </c>
    </row>
    <row r="16" spans="1:12" ht="31.5">
      <c r="A16" s="30"/>
      <c r="F16" s="163" t="s">
        <v>206</v>
      </c>
      <c r="G16" s="118">
        <v>50000</v>
      </c>
      <c r="L16" s="33">
        <f t="shared" si="0"/>
        <v>0</v>
      </c>
    </row>
    <row r="17" spans="1:12" ht="31.5">
      <c r="A17" s="30"/>
      <c r="F17" s="165" t="s">
        <v>207</v>
      </c>
      <c r="G17" s="118">
        <v>100000</v>
      </c>
      <c r="L17" s="33">
        <f t="shared" si="0"/>
        <v>0</v>
      </c>
    </row>
    <row r="18" spans="1:12" ht="31.5">
      <c r="A18" s="30"/>
      <c r="F18" s="163" t="s">
        <v>208</v>
      </c>
      <c r="G18" s="118">
        <v>150000</v>
      </c>
      <c r="L18" s="33">
        <f t="shared" si="0"/>
        <v>0</v>
      </c>
    </row>
    <row r="19" spans="1:12" ht="15.75">
      <c r="A19" s="30"/>
      <c r="F19" s="165"/>
      <c r="G19" s="166"/>
      <c r="L19" s="33">
        <f t="shared" si="0"/>
        <v>0</v>
      </c>
    </row>
    <row r="20" spans="1:12" ht="15.75">
      <c r="A20" s="30"/>
      <c r="F20" s="165"/>
      <c r="G20" s="166"/>
      <c r="L20" s="33">
        <f t="shared" si="0"/>
        <v>0</v>
      </c>
    </row>
    <row r="21" spans="1:12" ht="15.75">
      <c r="F21" s="165"/>
      <c r="G21" s="166"/>
      <c r="L21" s="33">
        <f t="shared" si="0"/>
        <v>0</v>
      </c>
    </row>
    <row r="22" spans="1:12" ht="15.75">
      <c r="F22" s="165"/>
      <c r="G22" s="166"/>
      <c r="L22" s="33">
        <f t="shared" si="0"/>
        <v>0</v>
      </c>
    </row>
    <row r="23" spans="1:12" ht="15.75">
      <c r="F23" s="165"/>
      <c r="G23" s="166"/>
      <c r="L23" s="33">
        <f t="shared" ref="L23:L31" si="1">IF(A23&gt;0,"ТР",0)</f>
        <v>0</v>
      </c>
    </row>
    <row r="24" spans="1:12" ht="15.75">
      <c r="F24" s="165"/>
      <c r="G24" s="166"/>
      <c r="L24" s="33">
        <f t="shared" si="1"/>
        <v>0</v>
      </c>
    </row>
    <row r="25" spans="1:12" ht="15.75">
      <c r="F25" s="165"/>
      <c r="G25" s="166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58" t="s">
        <v>21</v>
      </c>
      <c r="B39" s="159">
        <f>F39*G39*'Абонентский отдел'!$F$1+ПТО!H39*ПТО!I39*'Абонентский отдел'!$F$1</f>
        <v>416732.47200000007</v>
      </c>
      <c r="C39" s="160" t="s">
        <v>66</v>
      </c>
      <c r="D39" s="161">
        <v>12</v>
      </c>
      <c r="E39" s="34"/>
      <c r="F39" s="123">
        <v>6.42</v>
      </c>
      <c r="G39" s="123">
        <v>11</v>
      </c>
      <c r="H39" s="123">
        <v>6.42</v>
      </c>
      <c r="I39" s="123">
        <v>1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416732.47200000007</v>
      </c>
      <c r="O39" s="39" t="str">
        <f>C39</f>
        <v>Ежемесячно</v>
      </c>
      <c r="P39">
        <f>D39</f>
        <v>12</v>
      </c>
    </row>
    <row r="40" spans="1:16" ht="31.5" customHeight="1">
      <c r="A40" s="158"/>
      <c r="B40" s="159"/>
      <c r="C40" s="160"/>
      <c r="D40" s="161"/>
      <c r="E40" s="34"/>
      <c r="F40" s="123"/>
      <c r="G40" s="123">
        <v>11</v>
      </c>
      <c r="H40" s="123"/>
      <c r="I40" s="123">
        <v>1</v>
      </c>
      <c r="J40" s="36"/>
      <c r="L40" s="38">
        <f t="shared" ref="L40:L53" si="2">IF(A40&gt;0,"СОД",0)</f>
        <v>0</v>
      </c>
      <c r="M40">
        <f t="shared" ref="M40:M53" si="3">A40</f>
        <v>0</v>
      </c>
      <c r="N40" s="39">
        <f t="shared" ref="N40:N53" si="4">B40</f>
        <v>0</v>
      </c>
      <c r="O40" s="39">
        <f t="shared" ref="O40:O53" si="5">C40</f>
        <v>0</v>
      </c>
      <c r="P40">
        <f t="shared" ref="P40:P53" si="6">D40</f>
        <v>0</v>
      </c>
    </row>
    <row r="41" spans="1:16" ht="25.5">
      <c r="A41" s="158" t="s">
        <v>204</v>
      </c>
      <c r="B41" s="159">
        <f>F41*G41*'Абонентский отдел'!$F$1+ПТО!H41*ПТО!I41*'Абонентский отдел'!$F$1</f>
        <v>109159.674</v>
      </c>
      <c r="C41" s="160" t="s">
        <v>67</v>
      </c>
      <c r="D41" s="161">
        <v>12</v>
      </c>
      <c r="E41" s="34"/>
      <c r="F41" s="123">
        <v>1.64</v>
      </c>
      <c r="G41" s="123">
        <v>11</v>
      </c>
      <c r="H41" s="123">
        <v>2.14</v>
      </c>
      <c r="I41" s="123">
        <v>1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109159.674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8" t="s">
        <v>22</v>
      </c>
      <c r="B42" s="159">
        <f>F42*G42*'Абонентский отдел'!$F$1+ПТО!H42*ПТО!I42*'Абонентский отдел'!$F$1</f>
        <v>76595.687999999995</v>
      </c>
      <c r="C42" s="160" t="s">
        <v>66</v>
      </c>
      <c r="D42" s="161">
        <v>12</v>
      </c>
      <c r="E42" s="34"/>
      <c r="F42" s="123">
        <v>1.18</v>
      </c>
      <c r="G42" s="123">
        <v>11</v>
      </c>
      <c r="H42" s="123">
        <v>1.18</v>
      </c>
      <c r="I42" s="123">
        <v>1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76595.687999999995</v>
      </c>
      <c r="O42" s="39" t="str">
        <f t="shared" si="5"/>
        <v>Ежемесячно</v>
      </c>
      <c r="P42">
        <f t="shared" si="6"/>
        <v>12</v>
      </c>
    </row>
    <row r="43" spans="1:16" ht="15.75">
      <c r="A43" s="158"/>
      <c r="B43" s="160"/>
      <c r="C43" s="160"/>
      <c r="D43" s="161"/>
      <c r="E43" s="34"/>
      <c r="F43" s="123"/>
      <c r="G43" s="123">
        <v>11</v>
      </c>
      <c r="H43" s="123"/>
      <c r="I43" s="123">
        <v>1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58" t="s">
        <v>23</v>
      </c>
      <c r="B44" s="159">
        <f>F44*G44*'Абонентский отдел'!$F$1+ПТО!H44*ПТО!I44*'Абонентский отдел'!$F$1</f>
        <v>25315.524000000001</v>
      </c>
      <c r="C44" s="160" t="s">
        <v>68</v>
      </c>
      <c r="D44" s="161">
        <v>12</v>
      </c>
      <c r="E44" s="34"/>
      <c r="F44" s="126">
        <v>0.39</v>
      </c>
      <c r="G44" s="123">
        <v>11</v>
      </c>
      <c r="H44" s="126">
        <v>0.39</v>
      </c>
      <c r="I44" s="123">
        <v>1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25315.524000000001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8" t="s">
        <v>24</v>
      </c>
      <c r="B45" s="159">
        <f>F45*G45*'Абонентский отдел'!$F$1+ПТО!H45*ПТО!I45*'Абонентский отдел'!$F$1</f>
        <v>103317.63</v>
      </c>
      <c r="C45" s="160" t="s">
        <v>67</v>
      </c>
      <c r="D45" s="161">
        <v>12</v>
      </c>
      <c r="E45" s="34"/>
      <c r="F45" s="126">
        <v>1.55</v>
      </c>
      <c r="G45" s="123">
        <v>11</v>
      </c>
      <c r="H45" s="126">
        <v>2.0499999999999998</v>
      </c>
      <c r="I45" s="123">
        <v>1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103317.63</v>
      </c>
      <c r="O45" s="39" t="str">
        <f t="shared" si="5"/>
        <v>В соответствии с графиком</v>
      </c>
      <c r="P45">
        <f t="shared" si="6"/>
        <v>12</v>
      </c>
    </row>
    <row r="46" spans="1:16" ht="15.75">
      <c r="A46" s="158" t="s">
        <v>172</v>
      </c>
      <c r="B46" s="159">
        <f>F46*G46*'Абонентский отдел'!$F$1+ПТО!H46*ПТО!I46*'Абонентский отдел'!$F$1</f>
        <v>150594.91200000001</v>
      </c>
      <c r="C46" s="160" t="s">
        <v>66</v>
      </c>
      <c r="D46" s="162">
        <v>12</v>
      </c>
      <c r="F46" s="126">
        <v>2.3199999999999998</v>
      </c>
      <c r="G46" s="123">
        <v>11</v>
      </c>
      <c r="H46" s="126">
        <v>2.3199999999999998</v>
      </c>
      <c r="I46" s="123">
        <v>1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150594.91200000001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20"/>
      <c r="C47" s="121"/>
      <c r="D47" s="46"/>
      <c r="E47" s="120"/>
      <c r="F47" s="120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6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6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6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6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6:16">
      <c r="F53" s="122"/>
      <c r="G53" s="123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9" spans="6:16">
      <c r="F59" s="122"/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yxqFbV0niIqj9vd+8fnKmFXuDU26DHsIUJC1uVvhTJvDYXuGm4qc9b9SviHcockCJ+aZtkFcvwBfgymTEii6aw==" saltValue="GLbovCiyRgeWHarast2nE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175</v>
      </c>
      <c r="F1" s="58">
        <v>5409.3</v>
      </c>
    </row>
    <row r="2" spans="1:10" ht="15.75" customHeight="1">
      <c r="A2" s="68" t="s">
        <v>79</v>
      </c>
      <c r="B2" s="70" t="s">
        <v>1</v>
      </c>
      <c r="C2" s="81">
        <v>0</v>
      </c>
      <c r="D2" s="79" t="s">
        <v>56</v>
      </c>
      <c r="E2" s="127" t="s">
        <v>181</v>
      </c>
      <c r="F2" s="128" t="s">
        <v>182</v>
      </c>
      <c r="G2" s="59"/>
      <c r="H2" s="59"/>
      <c r="I2" s="59"/>
      <c r="J2" s="59"/>
    </row>
    <row r="3" spans="1:10" ht="15.75" customHeight="1">
      <c r="A3" s="68" t="s">
        <v>80</v>
      </c>
      <c r="B3" s="70" t="s">
        <v>2</v>
      </c>
      <c r="C3" s="77">
        <v>0</v>
      </c>
      <c r="D3" s="78" t="s">
        <v>57</v>
      </c>
      <c r="E3" s="129" t="s">
        <v>183</v>
      </c>
      <c r="F3" s="128" t="s">
        <v>184</v>
      </c>
      <c r="G3" s="59"/>
      <c r="H3" s="59"/>
      <c r="I3" s="59"/>
      <c r="J3" s="59"/>
    </row>
    <row r="4" spans="1:10" ht="15.75" customHeight="1">
      <c r="A4" s="68" t="s">
        <v>81</v>
      </c>
      <c r="B4" s="70" t="s">
        <v>3</v>
      </c>
      <c r="C4" s="81">
        <v>611415.25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82</v>
      </c>
      <c r="B5" s="70" t="s">
        <v>4</v>
      </c>
      <c r="C5" s="77">
        <f>SUM(C6:C8)</f>
        <v>1583720.2340000002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83</v>
      </c>
      <c r="B6" s="70" t="s">
        <v>5</v>
      </c>
      <c r="C6" s="81">
        <v>951634.93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84</v>
      </c>
      <c r="B7" s="70" t="s">
        <v>6</v>
      </c>
      <c r="C7" s="81">
        <f>(F1*4.74*12)</f>
        <v>307680.98400000005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85</v>
      </c>
      <c r="B8" s="70" t="s">
        <v>7</v>
      </c>
      <c r="C8" s="81">
        <v>324404.32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86</v>
      </c>
      <c r="B9" s="70" t="s">
        <v>8</v>
      </c>
      <c r="C9" s="77">
        <f>SUM(C10:C14)</f>
        <v>1563490.65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87</v>
      </c>
      <c r="B10" s="70" t="s">
        <v>9</v>
      </c>
      <c r="C10" s="81">
        <v>1563490.65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88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89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90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91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92</v>
      </c>
      <c r="B15" s="70" t="s">
        <v>14</v>
      </c>
      <c r="C15" s="77">
        <f>C9</f>
        <v>1563490.65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93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94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95</v>
      </c>
      <c r="B18" s="70" t="s">
        <v>17</v>
      </c>
      <c r="C18" s="77">
        <f>IF(C16&gt;0,0,IF(C4&gt;0,C4+C5-C9,C5-C2-C9))</f>
        <v>631644.83400000026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158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96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198"/>
      <c r="N20" s="60"/>
    </row>
    <row r="21" spans="1:15" ht="15.75" customHeight="1">
      <c r="A21" s="68" t="s">
        <v>97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198"/>
      <c r="N21" s="60"/>
    </row>
    <row r="22" spans="1:15" ht="15.75" customHeight="1">
      <c r="A22" s="68" t="s">
        <v>98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198"/>
      <c r="N22" s="60"/>
    </row>
    <row r="23" spans="1:15" ht="15.75" customHeight="1">
      <c r="A23" s="68" t="s">
        <v>99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198"/>
      <c r="N23" s="60"/>
    </row>
    <row r="24" spans="1:15" ht="18.75">
      <c r="A24" s="71" t="s">
        <v>159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100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197"/>
      <c r="N25" s="61"/>
    </row>
    <row r="26" spans="1:15" ht="18.75" customHeight="1">
      <c r="A26" s="68" t="s">
        <v>101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197"/>
      <c r="N26" s="61"/>
    </row>
    <row r="27" spans="1:15" ht="18.75" customHeight="1">
      <c r="A27" s="68" t="s">
        <v>102</v>
      </c>
      <c r="B27" s="73" t="s">
        <v>3</v>
      </c>
      <c r="C27" s="84">
        <v>136642.12</v>
      </c>
      <c r="D27" s="79" t="s">
        <v>58</v>
      </c>
      <c r="E27" s="62"/>
      <c r="F27" s="62"/>
      <c r="G27" s="62"/>
      <c r="H27" s="62"/>
      <c r="I27" s="62"/>
      <c r="J27" s="62"/>
      <c r="M27" s="197"/>
      <c r="N27" s="61"/>
    </row>
    <row r="28" spans="1:15" ht="18.75" customHeight="1">
      <c r="A28" s="68" t="s">
        <v>103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197"/>
      <c r="N28" s="61"/>
    </row>
    <row r="29" spans="1:15" ht="18.75" customHeight="1">
      <c r="A29" s="68" t="s">
        <v>104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197"/>
      <c r="N29" s="61"/>
    </row>
    <row r="30" spans="1:15" ht="18.75" customHeight="1">
      <c r="A30" s="68" t="s">
        <v>105</v>
      </c>
      <c r="B30" s="73" t="s">
        <v>17</v>
      </c>
      <c r="C30" s="84">
        <v>104952.82</v>
      </c>
      <c r="D30" s="79" t="s">
        <v>64</v>
      </c>
      <c r="E30" s="62"/>
      <c r="F30" s="62"/>
      <c r="G30" s="62"/>
      <c r="H30" s="62"/>
      <c r="I30" s="62"/>
      <c r="J30" s="62"/>
      <c r="M30" s="197"/>
      <c r="N30" s="61"/>
    </row>
    <row r="31" spans="1:15" ht="18.75" customHeight="1">
      <c r="A31" s="68" t="s">
        <v>106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197"/>
      <c r="N31" s="61"/>
    </row>
    <row r="32" spans="1:15" ht="18.75" customHeight="1">
      <c r="A32" s="68" t="s">
        <v>107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197"/>
      <c r="N32" s="61"/>
    </row>
    <row r="33" spans="1:15" ht="18.75" customHeight="1">
      <c r="A33" s="68" t="s">
        <v>108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197"/>
      <c r="N33" s="61"/>
    </row>
    <row r="34" spans="1:15" ht="18.75" customHeight="1">
      <c r="A34" s="68" t="s">
        <v>109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197"/>
      <c r="N34" s="61"/>
    </row>
    <row r="35" spans="1:15" ht="18.75" hidden="1">
      <c r="A35" s="71" t="s">
        <v>160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 hidden="1">
      <c r="A36" s="71" t="s">
        <v>161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 hidden="1">
      <c r="A37" s="71" t="s">
        <v>117</v>
      </c>
      <c r="B37" s="75" t="s">
        <v>51</v>
      </c>
      <c r="C37" s="94">
        <f>IF(E37&gt;0,"Предоставляется",0)</f>
        <v>0</v>
      </c>
      <c r="D37" s="94" t="s">
        <v>50</v>
      </c>
      <c r="E37" s="93"/>
      <c r="F37" s="92" t="s">
        <v>164</v>
      </c>
      <c r="G37" s="64"/>
      <c r="H37" s="64"/>
      <c r="I37" s="64"/>
      <c r="L37" s="61"/>
      <c r="M37" s="196"/>
      <c r="N37" s="61"/>
      <c r="O37" s="61"/>
    </row>
    <row r="38" spans="1:15" ht="18.75" hidden="1" customHeight="1">
      <c r="A38" s="68" t="s">
        <v>110</v>
      </c>
      <c r="B38" s="76" t="s">
        <v>35</v>
      </c>
      <c r="C38" s="88"/>
      <c r="D38" s="92" t="s">
        <v>162</v>
      </c>
      <c r="E38" s="66"/>
      <c r="G38" s="65"/>
      <c r="H38" s="65"/>
      <c r="L38" s="61"/>
      <c r="M38" s="196"/>
      <c r="N38" s="61"/>
      <c r="O38" s="61"/>
    </row>
    <row r="39" spans="1:15" ht="18.75" hidden="1" customHeight="1">
      <c r="A39" s="68" t="s">
        <v>111</v>
      </c>
      <c r="B39" s="76" t="s">
        <v>36</v>
      </c>
      <c r="C39" s="89"/>
      <c r="D39" s="92" t="s">
        <v>163</v>
      </c>
      <c r="E39" s="66"/>
      <c r="G39" s="65"/>
      <c r="H39" s="65"/>
      <c r="L39" s="61"/>
      <c r="M39" s="196"/>
      <c r="N39" s="61"/>
      <c r="O39" s="61"/>
    </row>
    <row r="40" spans="1:15" ht="18.75" hidden="1" customHeight="1">
      <c r="A40" s="68" t="s">
        <v>112</v>
      </c>
      <c r="B40" s="76" t="s">
        <v>37</v>
      </c>
      <c r="C40" s="91">
        <f>IF(E37-C39&lt;0,0,E37-C39)</f>
        <v>0</v>
      </c>
      <c r="D40" s="78" t="s">
        <v>57</v>
      </c>
      <c r="E40" s="66"/>
      <c r="G40" s="65"/>
      <c r="H40" s="65"/>
      <c r="L40" s="61"/>
      <c r="M40" s="196"/>
      <c r="N40" s="61"/>
      <c r="O40" s="61"/>
    </row>
    <row r="41" spans="1:15" ht="18.75" hidden="1" customHeight="1">
      <c r="A41" s="68" t="s">
        <v>113</v>
      </c>
      <c r="B41" s="76" t="s">
        <v>38</v>
      </c>
      <c r="C41" s="91">
        <f>E37</f>
        <v>0</v>
      </c>
      <c r="D41" s="78" t="s">
        <v>57</v>
      </c>
      <c r="E41" s="66"/>
      <c r="G41" s="65"/>
      <c r="H41" s="65"/>
      <c r="L41" s="61"/>
      <c r="M41" s="196"/>
      <c r="N41" s="61"/>
      <c r="O41" s="61"/>
    </row>
    <row r="42" spans="1:15" ht="18.75" hidden="1" customHeight="1">
      <c r="A42" s="68" t="s">
        <v>114</v>
      </c>
      <c r="B42" s="76" t="s">
        <v>39</v>
      </c>
      <c r="C42" s="91">
        <f>E37</f>
        <v>0</v>
      </c>
      <c r="D42" s="78" t="s">
        <v>57</v>
      </c>
      <c r="E42" s="66"/>
      <c r="G42" s="65"/>
      <c r="H42" s="65"/>
      <c r="L42" s="61"/>
      <c r="M42" s="196"/>
      <c r="N42" s="61"/>
      <c r="O42" s="61"/>
    </row>
    <row r="43" spans="1:15" ht="18.75" hidden="1" customHeight="1">
      <c r="A43" s="68" t="s">
        <v>115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96"/>
      <c r="N43" s="61"/>
      <c r="O43" s="61"/>
    </row>
    <row r="44" spans="1:15" ht="30" hidden="1" customHeight="1">
      <c r="A44" s="68" t="s">
        <v>116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96"/>
      <c r="N44" s="61"/>
      <c r="O44" s="61"/>
    </row>
    <row r="45" spans="1:15" ht="18.75" hidden="1">
      <c r="A45" s="71" t="s">
        <v>118</v>
      </c>
      <c r="B45" s="75" t="s">
        <v>52</v>
      </c>
      <c r="C45" s="94">
        <f>IF(E45&gt;0,"Предоставляется",0)</f>
        <v>0</v>
      </c>
      <c r="D45" s="94" t="s">
        <v>53</v>
      </c>
      <c r="E45" s="93"/>
      <c r="F45" s="92" t="s">
        <v>164</v>
      </c>
      <c r="G45" s="64"/>
      <c r="H45" s="64"/>
      <c r="L45" s="61"/>
      <c r="M45" s="196"/>
      <c r="N45" s="61"/>
      <c r="O45" s="61"/>
    </row>
    <row r="46" spans="1:15" ht="18.75" hidden="1" customHeight="1">
      <c r="A46" s="71" t="s">
        <v>119</v>
      </c>
      <c r="B46" s="76" t="s">
        <v>35</v>
      </c>
      <c r="C46" s="88"/>
      <c r="D46" s="92" t="s">
        <v>165</v>
      </c>
      <c r="E46" s="66"/>
      <c r="G46" s="65"/>
      <c r="H46" s="65"/>
      <c r="L46" s="61"/>
      <c r="M46" s="196"/>
      <c r="N46" s="61"/>
      <c r="O46" s="61"/>
    </row>
    <row r="47" spans="1:15" ht="18.75" hidden="1" customHeight="1">
      <c r="A47" s="71" t="s">
        <v>120</v>
      </c>
      <c r="B47" s="76" t="s">
        <v>36</v>
      </c>
      <c r="C47" s="89"/>
      <c r="D47" s="92" t="s">
        <v>163</v>
      </c>
      <c r="E47" s="66"/>
      <c r="G47" s="65"/>
      <c r="H47" s="65"/>
      <c r="L47" s="61"/>
      <c r="M47" s="196"/>
      <c r="N47" s="61"/>
      <c r="O47" s="61"/>
    </row>
    <row r="48" spans="1:15" ht="18.75" hidden="1" customHeight="1">
      <c r="A48" s="71" t="s">
        <v>121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196"/>
      <c r="N48" s="61"/>
      <c r="O48" s="61"/>
    </row>
    <row r="49" spans="1:15" ht="18.75" hidden="1" customHeight="1">
      <c r="A49" s="71" t="s">
        <v>122</v>
      </c>
      <c r="B49" s="76" t="s">
        <v>38</v>
      </c>
      <c r="C49" s="91">
        <f>E45</f>
        <v>0</v>
      </c>
      <c r="D49" s="78" t="s">
        <v>57</v>
      </c>
      <c r="E49" s="66"/>
      <c r="G49" s="65"/>
      <c r="H49" s="65"/>
      <c r="L49" s="61"/>
      <c r="M49" s="196"/>
      <c r="N49" s="61"/>
      <c r="O49" s="61"/>
    </row>
    <row r="50" spans="1:15" ht="18.75" hidden="1" customHeight="1">
      <c r="A50" s="71" t="s">
        <v>123</v>
      </c>
      <c r="B50" s="76" t="s">
        <v>39</v>
      </c>
      <c r="C50" s="91">
        <f>E45</f>
        <v>0</v>
      </c>
      <c r="D50" s="78" t="s">
        <v>57</v>
      </c>
      <c r="E50" s="66"/>
      <c r="G50" s="65"/>
      <c r="H50" s="65"/>
      <c r="L50" s="61"/>
      <c r="M50" s="196"/>
      <c r="N50" s="61"/>
      <c r="O50" s="61"/>
    </row>
    <row r="51" spans="1:15" ht="18.75" hidden="1" customHeight="1">
      <c r="A51" s="71" t="s">
        <v>124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96"/>
      <c r="N51" s="61"/>
      <c r="O51" s="61"/>
    </row>
    <row r="52" spans="1:15" ht="29.25" hidden="1" customHeight="1">
      <c r="A52" s="71" t="s">
        <v>125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96"/>
      <c r="N52" s="61"/>
      <c r="O52" s="61"/>
    </row>
    <row r="53" spans="1:15" ht="18.75" hidden="1">
      <c r="A53" s="71" t="s">
        <v>126</v>
      </c>
      <c r="B53" s="75" t="s">
        <v>54</v>
      </c>
      <c r="C53" s="94">
        <f>IF(E53&gt;0,"Предоставляется",0)</f>
        <v>0</v>
      </c>
      <c r="D53" s="94" t="s">
        <v>53</v>
      </c>
      <c r="E53" s="93"/>
      <c r="F53" s="92" t="s">
        <v>164</v>
      </c>
      <c r="G53" s="64"/>
      <c r="H53" s="64"/>
      <c r="L53" s="61"/>
      <c r="M53" s="196"/>
      <c r="N53" s="61"/>
      <c r="O53" s="61"/>
    </row>
    <row r="54" spans="1:15" ht="18.75" hidden="1" customHeight="1">
      <c r="A54" s="71" t="s">
        <v>127</v>
      </c>
      <c r="B54" s="73" t="s">
        <v>35</v>
      </c>
      <c r="C54" s="96"/>
      <c r="D54" s="92" t="s">
        <v>165</v>
      </c>
      <c r="E54" s="67"/>
      <c r="F54" s="87"/>
      <c r="G54" s="62"/>
      <c r="H54" s="62"/>
      <c r="L54" s="61"/>
      <c r="M54" s="196"/>
      <c r="N54" s="61"/>
      <c r="O54" s="61"/>
    </row>
    <row r="55" spans="1:15" ht="18.75" hidden="1" customHeight="1">
      <c r="A55" s="71" t="s">
        <v>128</v>
      </c>
      <c r="B55" s="73" t="s">
        <v>36</v>
      </c>
      <c r="C55" s="84"/>
      <c r="D55" s="92" t="s">
        <v>163</v>
      </c>
      <c r="E55" s="67"/>
      <c r="G55" s="62"/>
      <c r="H55" s="62"/>
      <c r="L55" s="61"/>
      <c r="M55" s="196"/>
      <c r="N55" s="61"/>
      <c r="O55" s="61"/>
    </row>
    <row r="56" spans="1:15" ht="18.75" hidden="1" customHeight="1">
      <c r="A56" s="71" t="s">
        <v>129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96"/>
      <c r="N56" s="61"/>
      <c r="O56" s="61"/>
    </row>
    <row r="57" spans="1:15" ht="18.75" hidden="1" customHeight="1">
      <c r="A57" s="71" t="s">
        <v>130</v>
      </c>
      <c r="B57" s="73" t="s">
        <v>38</v>
      </c>
      <c r="C57" s="91">
        <f>E53</f>
        <v>0</v>
      </c>
      <c r="D57" s="78" t="s">
        <v>57</v>
      </c>
      <c r="E57" s="67"/>
      <c r="G57" s="62"/>
      <c r="H57" s="62"/>
      <c r="L57" s="61"/>
      <c r="M57" s="196"/>
      <c r="N57" s="61"/>
      <c r="O57" s="61"/>
    </row>
    <row r="58" spans="1:15" ht="18.75" hidden="1" customHeight="1">
      <c r="A58" s="71" t="s">
        <v>131</v>
      </c>
      <c r="B58" s="73" t="s">
        <v>39</v>
      </c>
      <c r="C58" s="91">
        <f>E53</f>
        <v>0</v>
      </c>
      <c r="D58" s="78" t="s">
        <v>57</v>
      </c>
      <c r="E58" s="67"/>
      <c r="G58" s="62"/>
      <c r="H58" s="62"/>
      <c r="L58" s="61"/>
      <c r="M58" s="196"/>
      <c r="N58" s="61"/>
      <c r="O58" s="61"/>
    </row>
    <row r="59" spans="1:15" ht="18.75" hidden="1" customHeight="1">
      <c r="A59" s="71" t="s">
        <v>132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96"/>
      <c r="N59" s="61"/>
      <c r="O59" s="61"/>
    </row>
    <row r="60" spans="1:15" ht="33.75" hidden="1" customHeight="1">
      <c r="A60" s="71" t="s">
        <v>133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96"/>
      <c r="N60" s="61"/>
      <c r="O60" s="61"/>
    </row>
    <row r="61" spans="1:15" ht="15.75" hidden="1">
      <c r="A61" s="71" t="s">
        <v>134</v>
      </c>
      <c r="B61" s="75" t="s">
        <v>75</v>
      </c>
      <c r="C61" s="94">
        <f>IF(E61&gt;0,"Предоставляется",0)</f>
        <v>0</v>
      </c>
      <c r="D61" s="94" t="s">
        <v>53</v>
      </c>
      <c r="E61" s="93"/>
      <c r="F61" s="92" t="s">
        <v>164</v>
      </c>
      <c r="G61" s="64"/>
      <c r="H61" s="64"/>
    </row>
    <row r="62" spans="1:15" ht="15.75" hidden="1" customHeight="1">
      <c r="A62" s="71" t="s">
        <v>135</v>
      </c>
      <c r="B62" s="73" t="s">
        <v>35</v>
      </c>
      <c r="C62" s="96"/>
      <c r="D62" s="92" t="s">
        <v>165</v>
      </c>
      <c r="E62" s="67"/>
      <c r="G62" s="62"/>
      <c r="H62" s="62"/>
    </row>
    <row r="63" spans="1:15" ht="15.75" hidden="1" customHeight="1">
      <c r="A63" s="71" t="s">
        <v>136</v>
      </c>
      <c r="B63" s="73" t="s">
        <v>36</v>
      </c>
      <c r="C63" s="84"/>
      <c r="D63" s="92" t="s">
        <v>163</v>
      </c>
      <c r="E63" s="67"/>
      <c r="G63" s="62"/>
      <c r="H63" s="62"/>
    </row>
    <row r="64" spans="1:15" ht="15.75" hidden="1" customHeight="1">
      <c r="A64" s="71" t="s">
        <v>137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hidden="1" customHeight="1">
      <c r="A65" s="71" t="s">
        <v>138</v>
      </c>
      <c r="B65" s="73" t="s">
        <v>38</v>
      </c>
      <c r="C65" s="91">
        <f>E61</f>
        <v>0</v>
      </c>
      <c r="D65" s="78" t="s">
        <v>57</v>
      </c>
      <c r="E65" s="67"/>
      <c r="G65" s="62"/>
      <c r="H65" s="62"/>
    </row>
    <row r="66" spans="1:8" ht="15.75" hidden="1" customHeight="1">
      <c r="A66" s="71" t="s">
        <v>139</v>
      </c>
      <c r="B66" s="73" t="s">
        <v>39</v>
      </c>
      <c r="C66" s="91">
        <f>E61</f>
        <v>0</v>
      </c>
      <c r="D66" s="78" t="s">
        <v>57</v>
      </c>
      <c r="E66" s="67"/>
      <c r="G66" s="62"/>
      <c r="H66" s="62"/>
    </row>
    <row r="67" spans="1:8" ht="15.75" hidden="1" customHeight="1">
      <c r="A67" s="71" t="s">
        <v>140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hidden="1" customHeight="1">
      <c r="A68" s="71" t="s">
        <v>141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 hidden="1">
      <c r="A69" s="71" t="s">
        <v>142</v>
      </c>
      <c r="B69" s="75" t="s">
        <v>76</v>
      </c>
      <c r="C69" s="94">
        <f>IF(E69&gt;0,"Предоставляется",0)</f>
        <v>0</v>
      </c>
      <c r="D69" s="94" t="s">
        <v>53</v>
      </c>
      <c r="E69" s="93"/>
      <c r="F69" s="92" t="s">
        <v>164</v>
      </c>
      <c r="G69" s="64"/>
      <c r="H69" s="64"/>
    </row>
    <row r="70" spans="1:8" ht="15.75" hidden="1" customHeight="1">
      <c r="A70" s="71" t="s">
        <v>143</v>
      </c>
      <c r="B70" s="73" t="s">
        <v>35</v>
      </c>
      <c r="C70" s="96"/>
      <c r="D70" s="92" t="s">
        <v>165</v>
      </c>
      <c r="E70" s="67"/>
      <c r="G70" s="62"/>
      <c r="H70" s="62"/>
    </row>
    <row r="71" spans="1:8" ht="15.75" hidden="1" customHeight="1">
      <c r="A71" s="71" t="s">
        <v>144</v>
      </c>
      <c r="B71" s="73" t="s">
        <v>36</v>
      </c>
      <c r="C71" s="84"/>
      <c r="D71" s="92" t="s">
        <v>163</v>
      </c>
      <c r="E71" s="67"/>
      <c r="G71" s="62"/>
      <c r="H71" s="62"/>
    </row>
    <row r="72" spans="1:8" ht="15.75" hidden="1" customHeight="1">
      <c r="A72" s="71" t="s">
        <v>145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hidden="1" customHeight="1">
      <c r="A73" s="71" t="s">
        <v>146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hidden="1" customHeight="1">
      <c r="A74" s="71" t="s">
        <v>147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hidden="1" customHeight="1">
      <c r="A75" s="71" t="s">
        <v>148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hidden="1" customHeight="1">
      <c r="A76" s="71" t="s">
        <v>149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 hidden="1">
      <c r="A77" s="71" t="s">
        <v>150</v>
      </c>
      <c r="B77" s="75" t="s">
        <v>77</v>
      </c>
      <c r="C77" s="94">
        <f>IF(E77&gt;0,"Предоставляется",0)</f>
        <v>0</v>
      </c>
      <c r="D77" s="94" t="s">
        <v>78</v>
      </c>
      <c r="E77" s="93"/>
      <c r="F77" s="92" t="s">
        <v>164</v>
      </c>
      <c r="G77" s="64"/>
      <c r="H77" s="64"/>
    </row>
    <row r="78" spans="1:8" ht="15.75" hidden="1" customHeight="1">
      <c r="A78" s="71" t="s">
        <v>151</v>
      </c>
      <c r="B78" s="73" t="s">
        <v>35</v>
      </c>
      <c r="C78" s="96"/>
      <c r="D78" s="92" t="s">
        <v>166</v>
      </c>
      <c r="E78" s="62"/>
      <c r="G78" s="62"/>
      <c r="H78" s="62"/>
    </row>
    <row r="79" spans="1:8" ht="15.75" hidden="1" customHeight="1">
      <c r="A79" s="71" t="s">
        <v>152</v>
      </c>
      <c r="B79" s="73" t="s">
        <v>36</v>
      </c>
      <c r="C79" s="84"/>
      <c r="D79" s="92" t="s">
        <v>163</v>
      </c>
      <c r="E79" s="62"/>
      <c r="G79" s="62"/>
      <c r="H79" s="62"/>
    </row>
    <row r="80" spans="1:8" ht="15.75" hidden="1" customHeight="1">
      <c r="A80" s="71" t="s">
        <v>153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hidden="1" customHeight="1">
      <c r="A81" s="71" t="s">
        <v>154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hidden="1" customHeight="1">
      <c r="A82" s="71" t="s">
        <v>155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hidden="1" customHeight="1">
      <c r="A83" s="71" t="s">
        <v>156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hidden="1" customHeight="1">
      <c r="A84" s="71" t="s">
        <v>157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2" sqref="C2:C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167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168</v>
      </c>
      <c r="B3" s="57" t="s">
        <v>44</v>
      </c>
      <c r="C3" s="103"/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169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2025-03-20T06:34:17Z</dcterms:modified>
</cp:coreProperties>
</file>