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C30" i="3" l="1"/>
  <c r="B46" i="2" l="1"/>
  <c r="B45" i="2"/>
  <c r="B44" i="2"/>
  <c r="B42" i="2"/>
  <c r="B41" i="2"/>
  <c r="B40" i="2"/>
  <c r="B39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5" i="1"/>
  <c r="A103" i="1"/>
  <c r="G102" i="1"/>
  <c r="F102" i="1"/>
  <c r="A102" i="1"/>
  <c r="J101" i="1"/>
  <c r="J96" i="1"/>
  <c r="J95" i="1"/>
  <c r="A101" i="1"/>
  <c r="A95" i="1"/>
  <c r="G94" i="1"/>
  <c r="K94" i="1"/>
  <c r="A106" i="1" l="1"/>
  <c r="D102" i="1"/>
  <c r="A104" i="1"/>
  <c r="A98" i="1"/>
  <c r="F94" i="1"/>
  <c r="A99" i="1"/>
  <c r="A115" i="1"/>
  <c r="A116" i="1"/>
  <c r="D110" i="1"/>
  <c r="A94" i="1"/>
  <c r="A97" i="1"/>
  <c r="A110" i="1"/>
  <c r="A112" i="1"/>
  <c r="A111" i="1"/>
  <c r="A109" i="1"/>
  <c r="F110" i="1"/>
  <c r="A113" i="1"/>
  <c r="A117" i="1"/>
  <c r="A119" i="1"/>
  <c r="A123" i="1"/>
  <c r="A118" i="1"/>
  <c r="D94" i="1"/>
  <c r="A96" i="1"/>
  <c r="D118" i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84" i="1"/>
  <c r="F170" i="1"/>
  <c r="H172" i="1"/>
  <c r="F187" i="1"/>
  <c r="H168" i="1"/>
  <c r="F177" i="1"/>
  <c r="H167" i="1"/>
  <c r="F167" i="1"/>
  <c r="F186" i="1"/>
  <c r="H187" i="1"/>
  <c r="F175" i="1"/>
  <c r="H182" i="1"/>
  <c r="F181" i="1"/>
  <c r="F184" i="1"/>
  <c r="F179" i="1"/>
  <c r="F172" i="1"/>
  <c r="H165" i="1"/>
  <c r="H170" i="1"/>
  <c r="F176" i="1"/>
  <c r="H186" i="1"/>
  <c r="F178" i="1"/>
  <c r="F168" i="1"/>
  <c r="H178" i="1"/>
  <c r="F165" i="1"/>
  <c r="F173" i="1"/>
  <c r="H176" i="1"/>
  <c r="H173" i="1"/>
  <c r="F180" i="1"/>
  <c r="H164" i="1"/>
  <c r="F185" i="1"/>
  <c r="H177" i="1"/>
  <c r="F182" i="1"/>
  <c r="H179" i="1"/>
  <c r="H169" i="1"/>
  <c r="F169" i="1"/>
  <c r="F171" i="1"/>
  <c r="H171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<sst xmlns="http://schemas.openxmlformats.org/spreadsheetml/2006/main" count="560" uniqueCount="209">
  <si>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</si>
  <si>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</si>
  <si>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</si>
  <si>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</si>
  <si>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</si>
  <si>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</si>
  <si>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</si>
  <si>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</si>
  <si>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</si>
  <si>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</si>
  <si>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</si>
  <si>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</si>
  <si>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</si>
  <si>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</si>
  <si>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</si>
  <si>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</si>
  <si>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</si>
  <si>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</si>
  <si>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</si>
  <si>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</si>
  <si>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</si>
  <si>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</si>
  <si>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</si>
  <si>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</si>
  <si>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</si>
  <si>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</si>
  <si>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</si>
  <si>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</si>
  <si>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</si>
  <si>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</si>
  <si>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</si>
  <si>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</si>
  <si>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</si>
  <si>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</si>
  <si>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</si>
  <si>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</si>
  <si>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</si>
  <si>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</si>
  <si>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</si>
  <si>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</si>
  <si>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</si>
  <si>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</si>
  <si>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</si>
  <si>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</si>
  <si>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</si>
  <si>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</si>
  <si>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</si>
  <si>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</si>
  <si>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</si>
  <si>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</si>
  <si>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</si>
  <si>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</si>
  <si>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</si>
  <si>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</si>
  <si>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</si>
  <si>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</si>
  <si>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</si>
  <si>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</si>
  <si>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</si>
  <si>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</si>
  <si>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</si>
  <si>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</si>
  <si>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</si>
  <si>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</si>
  <si>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</si>
  <si>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</si>
  <si>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</si>
  <si>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</si>
  <si>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</si>
  <si>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</si>
  <si>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</si>
  <si>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</si>
  <si>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</si>
  <si>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</si>
  <si>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</si>
  <si>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</si>
  <si>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</si>
  <si>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</si>
  <si>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</si>
  <si>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</si>
  <si>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</si>
  <si>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</si>
  <si>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</si>
  <si>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</si>
  <si>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</si>
  <si>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</si>
  <si>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</si>
  <si>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</si>
  <si>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</si>
  <si>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</si>
  <si>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</si>
  <si>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</si>
  <si>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</si>
  <si>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</si>
  <si>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</si>
  <si>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</si>
  <si>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</si>
  <si>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</si>
  <si>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</si>
  <si>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</si>
  <si>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</si>
  <si>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</si>
  <si>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</si>
  <si>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</si>
  <si>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</si>
  <si>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</si>
  <si>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</si>
  <si>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</si>
  <si>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</si>
  <si>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</si>
  <si>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</si>
  <si>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</si>
  <si>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</si>
  <si>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</si>
  <si>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</si>
  <si>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</si>
  <si>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</si>
  <si>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</si>
  <si>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</si>
  <si>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</si>
  <si>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</si>
  <si>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</si>
  <si>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</si>
  <si>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</si>
  <si>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</si>
  <si>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</si>
  <si>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</si>
  <si>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</si>
  <si>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</si>
  <si>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</si>
  <si>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</si>
  <si>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</si>
  <si>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</si>
  <si>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</si>
  <si>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</si>
  <si>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</si>
  <si>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</si>
  <si>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</si>
  <si>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</si>
  <si>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</si>
  <si>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</si>
  <si>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</si>
  <si>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</si>
  <si>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</si>
  <si>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</si>
  <si>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</si>
  <si>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</si>
  <si>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</si>
  <si>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</si>
  <si>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</si>
  <si>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</si>
  <si>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</si>
  <si>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</si>
  <si>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</si>
  <si>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</si>
  <si>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</si>
  <si>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</si>
  <si>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</si>
  <si>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</si>
  <si>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</si>
  <si>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</si>
  <si>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</si>
  <si>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</si>
  <si>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</si>
  <si>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</si>
  <si>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</si>
  <si>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</si>
  <si>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</si>
  <si>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</si>
  <si>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</si>
  <si>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</si>
  <si>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</si>
  <si>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</si>
  <si>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</si>
  <si>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</si>
  <si>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</si>
  <si>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</si>
  <si>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</si>
  <si>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</si>
  <si>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</si>
  <si>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</si>
  <si>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</si>
  <si>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</si>
  <si>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</si>
  <si>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разово</t>
  </si>
  <si>
    <t>Механизированная уборка и вывоз снега с придомовой территории.</t>
  </si>
  <si>
    <t xml:space="preserve">  -  благоустройство придомовой территории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</si>
  <si>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</si>
  <si>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</si>
  <si>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</si>
  <si>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</si>
  <si>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</si>
  <si>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АВР 1/24 от 25.06.2024, Решение, счет №03250 от 17.06.2024</t>
  </si>
  <si>
    <t>Приобретение и замена шарового крана Ду20, трубы Ду 20 (2 м.), муфты Ду20 на 15.</t>
  </si>
  <si>
    <t>Изготовление и монтаж водосточной системы над козырьком подъезда.</t>
  </si>
  <si>
    <t>АВР 2/24 от 02.03.2024, Решение, счет №35 от 02.03.2024</t>
  </si>
  <si>
    <t>АВР 3/24 от 22.10.2024</t>
  </si>
  <si>
    <t>Ремонт термометра сопротивления на подающем трубопроводе.</t>
  </si>
  <si>
    <t>Пуско-наладочные работы комплекта термопреобразователя сопротивления.</t>
  </si>
  <si>
    <t>Ремонт прибора учета тепловой энергии (замена платы подключения).</t>
  </si>
  <si>
    <t>АВР 5/24 от 25.11.2024, счет №1162 от 05.11.2024</t>
  </si>
  <si>
    <t>АВР 4/24 от 20.10.2024, Решение, счет №255 от 15.07.2024</t>
  </si>
  <si>
    <t>АВР 6/24 от 31.12.2024</t>
  </si>
  <si>
    <t>АВР 7/24 от 30.09.2024, Решение, счет №6 от 23.08.2024</t>
  </si>
  <si>
    <t>АВР 8/24 от 20.10.2024, счет №47 от 04.12.2024</t>
  </si>
  <si>
    <t xml:space="preserve">Работы по содержанию земельного участка </t>
  </si>
  <si>
    <t>исковое срок давности</t>
  </si>
  <si>
    <t xml:space="preserve">  -  приобретение и замена доводчика на подъездной двери</t>
  </si>
  <si>
    <t xml:space="preserve">  -  замена прожектора над подъездом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</si>
</sst>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2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</cellStyleXfs>
  <cellXfs count="19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23" fillId="0" borderId="0" xfId="0" applyFont="1" applyBorder="1" applyAlignment="1">
      <alignment wrapText="1"/>
    </xf>
    <xf numFmtId="4" fontId="22" fillId="0" borderId="0" xfId="0" applyNumberFormat="1" applyFont="1" applyBorder="1"/>
    <xf numFmtId="0" fontId="0" fillId="0" borderId="0" xfId="0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4" fontId="32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4" fontId="23" fillId="0" borderId="0" xfId="0" applyNumberFormat="1" applyFont="1"/>
    <xf numFmtId="0" fontId="33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0" fontId="16" fillId="0" borderId="1" xfId="5" applyFill="1" applyBorder="1" applyAlignment="1"/>
    <xf numFmtId="0" fontId="30" fillId="0" borderId="1" xfId="5" applyFont="1" applyFill="1" applyBorder="1" applyAlignment="1">
      <alignment horizontal="center"/>
    </xf>
    <xf numFmtId="4" fontId="16" fillId="0" borderId="1" xfId="5" applyNumberFormat="1" applyFill="1" applyBorder="1" applyAlignment="1"/>
    <xf numFmtId="0" fontId="0" fillId="0" borderId="1" xfId="0" applyFill="1" applyBorder="1"/>
    <xf numFmtId="0" fontId="30" fillId="0" borderId="1" xfId="5" applyFont="1" applyFill="1" applyBorder="1" applyAlignment="1"/>
    <xf numFmtId="4" fontId="30" fillId="0" borderId="1" xfId="5" applyNumberFormat="1" applyFont="1" applyFill="1" applyBorder="1" applyAlignment="1"/>
    <xf numFmtId="0" fontId="13" fillId="0" borderId="1" xfId="7" applyFont="1" applyFill="1" applyBorder="1" applyAlignment="1"/>
    <xf numFmtId="0" fontId="13" fillId="0" borderId="1" xfId="7" applyFont="1" applyFill="1" applyBorder="1" applyAlignment="1">
      <alignment horizontal="center"/>
    </xf>
    <xf numFmtId="0" fontId="13" fillId="0" borderId="1" xfId="7" applyNumberFormat="1" applyFill="1" applyBorder="1" applyAlignment="1">
      <alignment horizontal="center"/>
    </xf>
    <xf numFmtId="4" fontId="13" fillId="0" borderId="1" xfId="7" applyNumberFormat="1" applyFill="1" applyBorder="1" applyAlignment="1"/>
    <xf numFmtId="4" fontId="0" fillId="0" borderId="1" xfId="0" applyNumberFormat="1" applyFill="1" applyBorder="1"/>
    <xf numFmtId="0" fontId="7" fillId="0" borderId="1" xfId="151" applyFont="1" applyFill="1" applyBorder="1" applyAlignment="1"/>
    <xf numFmtId="0" fontId="8" fillId="0" borderId="1" xfId="151" applyFont="1" applyFill="1" applyBorder="1" applyAlignment="1">
      <alignment horizontal="center"/>
    </xf>
    <xf numFmtId="0" fontId="30" fillId="0" borderId="1" xfId="151" applyNumberFormat="1" applyFont="1" applyFill="1" applyBorder="1" applyAlignment="1">
      <alignment horizontal="center" vertical="center"/>
    </xf>
    <xf numFmtId="4" fontId="8" fillId="0" borderId="1" xfId="151" applyNumberFormat="1" applyFill="1" applyBorder="1" applyAlignment="1"/>
    <xf numFmtId="0" fontId="5" fillId="0" borderId="1" xfId="151" applyFont="1" applyFill="1" applyBorder="1"/>
    <xf numFmtId="0" fontId="4" fillId="0" borderId="1" xfId="5" applyFont="1" applyFill="1" applyBorder="1" applyAlignment="1"/>
    <xf numFmtId="0" fontId="9" fillId="0" borderId="1" xfId="5" applyFont="1" applyFill="1" applyBorder="1" applyAlignment="1">
      <alignment horizontal="center"/>
    </xf>
    <xf numFmtId="0" fontId="16" fillId="0" borderId="1" xfId="5" applyFill="1" applyBorder="1" applyAlignment="1">
      <alignment horizontal="center"/>
    </xf>
    <xf numFmtId="4" fontId="0" fillId="0" borderId="1" xfId="0" applyNumberFormat="1" applyFont="1" applyFill="1" applyBorder="1"/>
    <xf numFmtId="0" fontId="4" fillId="0" borderId="1" xfId="7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6" fillId="0" borderId="1" xfId="4" applyFont="1" applyFill="1" applyBorder="1" applyAlignment="1"/>
    <xf numFmtId="0" fontId="6" fillId="0" borderId="1" xfId="4" applyFont="1" applyFill="1" applyBorder="1" applyAlignment="1">
      <alignment horizontal="center"/>
    </xf>
    <xf numFmtId="0" fontId="30" fillId="0" borderId="1" xfId="4" applyFont="1" applyFill="1" applyBorder="1" applyAlignment="1">
      <alignment horizontal="center"/>
    </xf>
    <xf numFmtId="4" fontId="30" fillId="0" borderId="1" xfId="4" applyNumberFormat="1" applyFont="1" applyFill="1" applyBorder="1" applyAlignment="1"/>
    <xf numFmtId="0" fontId="2" fillId="0" borderId="1" xfId="4" applyFont="1" applyFill="1" applyBorder="1" applyAlignment="1"/>
    <xf numFmtId="0" fontId="4" fillId="0" borderId="1" xfId="5" applyFont="1" applyFill="1" applyBorder="1" applyAlignment="1">
      <alignment wrapText="1"/>
    </xf>
    <xf numFmtId="0" fontId="32" fillId="3" borderId="1" xfId="0" applyFont="1" applyFill="1" applyBorder="1" applyAlignment="1">
      <alignment horizontal="left" vertical="center" wrapText="1"/>
    </xf>
    <xf numFmtId="4" fontId="32" fillId="3" borderId="1" xfId="1" applyNumberFormat="1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/>
    </xf>
    <xf numFmtId="0" fontId="34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3" fillId="0" borderId="1" xfId="4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152">
    <cellStyle name="Обычный" xfId="0" builtinId="0"/>
    <cellStyle name="Обычный 2" xfId="1"/>
    <cellStyle name="Обычный 2 10" xfId="117"/>
    <cellStyle name="Обычный 2 2" xfId="3"/>
    <cellStyle name="Обычный 2 3" xfId="13"/>
    <cellStyle name="Обычный 2 3 2" xfId="28"/>
    <cellStyle name="Обычный 2 3 2 2" xfId="109"/>
    <cellStyle name="Обычный 2 3 2 3" xfId="75"/>
    <cellStyle name="Обычный 2 3 2 4" xfId="143"/>
    <cellStyle name="Обычный 2 3 3" xfId="60"/>
    <cellStyle name="Обычный 2 3 4" xfId="94"/>
    <cellStyle name="Обычный 2 3 5" xfId="47"/>
    <cellStyle name="Обычный 2 3 6" xfId="128"/>
    <cellStyle name="Обычный 2 4" xfId="32"/>
    <cellStyle name="Обычный 2 4 2" xfId="79"/>
    <cellStyle name="Обычный 2 4 3" xfId="113"/>
    <cellStyle name="Обычный 2 4 4" xfId="51"/>
    <cellStyle name="Обычный 2 4 5" xfId="147"/>
    <cellStyle name="Обычный 2 5" xfId="6"/>
    <cellStyle name="Обычный 2 5 2" xfId="24"/>
    <cellStyle name="Обычный 2 5 2 2" xfId="105"/>
    <cellStyle name="Обычный 2 5 2 3" xfId="71"/>
    <cellStyle name="Обычный 2 5 2 4" xfId="139"/>
    <cellStyle name="Обычный 2 5 3" xfId="87"/>
    <cellStyle name="Обычный 2 5 4" xfId="43"/>
    <cellStyle name="Обычный 2 5 5" xfId="121"/>
    <cellStyle name="Обычный 2 6" xfId="17"/>
    <cellStyle name="Обычный 2 6 2" xfId="98"/>
    <cellStyle name="Обычный 2 6 3" xfId="64"/>
    <cellStyle name="Обычный 2 6 4" xfId="132"/>
    <cellStyle name="Обычный 2 7" xfId="8"/>
    <cellStyle name="Обычный 2 7 2" xfId="89"/>
    <cellStyle name="Обычный 2 7 3" xfId="55"/>
    <cellStyle name="Обычный 2 7 4" xfId="123"/>
    <cellStyle name="Обычный 2 8" xfId="83"/>
    <cellStyle name="Обычный 2 9" xfId="36"/>
    <cellStyle name="Обычный 3" xfId="2"/>
    <cellStyle name="Обычный 3 2" xfId="14"/>
    <cellStyle name="Обычный 3 2 2" xfId="29"/>
    <cellStyle name="Обычный 3 2 2 2" xfId="76"/>
    <cellStyle name="Обычный 3 2 2 3" xfId="110"/>
    <cellStyle name="Обычный 3 2 2 4" xfId="48"/>
    <cellStyle name="Обычный 3 2 2 5" xfId="144"/>
    <cellStyle name="Обычный 3 2 3" xfId="22"/>
    <cellStyle name="Обычный 3 2 3 2" xfId="103"/>
    <cellStyle name="Обычный 3 2 3 3" xfId="69"/>
    <cellStyle name="Обычный 3 2 3 4" xfId="137"/>
    <cellStyle name="Обычный 3 2 4" xfId="61"/>
    <cellStyle name="Обычный 3 2 5" xfId="95"/>
    <cellStyle name="Обычный 3 2 6" xfId="41"/>
    <cellStyle name="Обычный 3 2 7" xfId="129"/>
    <cellStyle name="Обычный 3 3" xfId="33"/>
    <cellStyle name="Обычный 3 3 2" xfId="80"/>
    <cellStyle name="Обычный 3 3 3" xfId="114"/>
    <cellStyle name="Обычный 3 3 4" xfId="52"/>
    <cellStyle name="Обычный 3 3 5" xfId="148"/>
    <cellStyle name="Обычный 3 4" xfId="25"/>
    <cellStyle name="Обычный 3 4 2" xfId="72"/>
    <cellStyle name="Обычный 3 4 3" xfId="106"/>
    <cellStyle name="Обычный 3 4 4" xfId="44"/>
    <cellStyle name="Обычный 3 4 5" xfId="140"/>
    <cellStyle name="Обычный 3 5" xfId="18"/>
    <cellStyle name="Обычный 3 5 2" xfId="99"/>
    <cellStyle name="Обычный 3 5 3" xfId="65"/>
    <cellStyle name="Обычный 3 5 4" xfId="133"/>
    <cellStyle name="Обычный 3 6" xfId="9"/>
    <cellStyle name="Обычный 3 6 2" xfId="90"/>
    <cellStyle name="Обычный 3 6 3" xfId="56"/>
    <cellStyle name="Обычный 3 6 4" xfId="124"/>
    <cellStyle name="Обычный 3 7" xfId="84"/>
    <cellStyle name="Обычный 3 8" xfId="37"/>
    <cellStyle name="Обычный 3 9" xfId="118"/>
    <cellStyle name="Обычный 4" xfId="4"/>
    <cellStyle name="Обычный 4 2" xfId="15"/>
    <cellStyle name="Обычный 4 2 2" xfId="30"/>
    <cellStyle name="Обычный 4 2 2 2" xfId="77"/>
    <cellStyle name="Обычный 4 2 2 3" xfId="111"/>
    <cellStyle name="Обычный 4 2 2 4" xfId="49"/>
    <cellStyle name="Обычный 4 2 2 5" xfId="145"/>
    <cellStyle name="Обычный 4 2 3" xfId="23"/>
    <cellStyle name="Обычный 4 2 3 2" xfId="104"/>
    <cellStyle name="Обычный 4 2 3 3" xfId="70"/>
    <cellStyle name="Обычный 4 2 3 4" xfId="138"/>
    <cellStyle name="Обычный 4 2 4" xfId="62"/>
    <cellStyle name="Обычный 4 2 5" xfId="96"/>
    <cellStyle name="Обычный 4 2 6" xfId="42"/>
    <cellStyle name="Обычный 4 2 7" xfId="130"/>
    <cellStyle name="Обычный 4 3" xfId="34"/>
    <cellStyle name="Обычный 4 3 2" xfId="81"/>
    <cellStyle name="Обычный 4 3 3" xfId="115"/>
    <cellStyle name="Обычный 4 3 4" xfId="53"/>
    <cellStyle name="Обычный 4 3 5" xfId="149"/>
    <cellStyle name="Обычный 4 4" xfId="26"/>
    <cellStyle name="Обычный 4 4 2" xfId="73"/>
    <cellStyle name="Обычный 4 4 3" xfId="107"/>
    <cellStyle name="Обычный 4 4 4" xfId="45"/>
    <cellStyle name="Обычный 4 4 5" xfId="141"/>
    <cellStyle name="Обычный 4 5" xfId="19"/>
    <cellStyle name="Обычный 4 5 2" xfId="100"/>
    <cellStyle name="Обычный 4 5 3" xfId="66"/>
    <cellStyle name="Обычный 4 5 4" xfId="134"/>
    <cellStyle name="Обычный 4 6" xfId="10"/>
    <cellStyle name="Обычный 4 6 2" xfId="91"/>
    <cellStyle name="Обычный 4 6 3" xfId="57"/>
    <cellStyle name="Обычный 4 6 4" xfId="125"/>
    <cellStyle name="Обычный 4 7" xfId="85"/>
    <cellStyle name="Обычный 4 8" xfId="38"/>
    <cellStyle name="Обычный 4 9" xfId="119"/>
    <cellStyle name="Обычный 5" xfId="5"/>
    <cellStyle name="Обычный 5 10" xfId="151"/>
    <cellStyle name="Обычный 5 2" xfId="7"/>
    <cellStyle name="Обычный 5 2 2" xfId="31"/>
    <cellStyle name="Обычный 5 2 2 2" xfId="112"/>
    <cellStyle name="Обычный 5 2 2 3" xfId="78"/>
    <cellStyle name="Обычный 5 2 2 4" xfId="146"/>
    <cellStyle name="Обычный 5 2 3" xfId="16"/>
    <cellStyle name="Обычный 5 2 3 2" xfId="97"/>
    <cellStyle name="Обычный 5 2 3 3" xfId="63"/>
    <cellStyle name="Обычный 5 2 3 4" xfId="131"/>
    <cellStyle name="Обычный 5 2 4" xfId="88"/>
    <cellStyle name="Обычный 5 2 5" xfId="50"/>
    <cellStyle name="Обычный 5 2 6" xfId="122"/>
    <cellStyle name="Обычный 5 3" xfId="12"/>
    <cellStyle name="Обычный 5 3 2" xfId="35"/>
    <cellStyle name="Обычный 5 3 2 2" xfId="116"/>
    <cellStyle name="Обычный 5 3 2 3" xfId="82"/>
    <cellStyle name="Обычный 5 3 2 4" xfId="150"/>
    <cellStyle name="Обычный 5 3 3" xfId="59"/>
    <cellStyle name="Обычный 5 3 4" xfId="93"/>
    <cellStyle name="Обычный 5 3 5" xfId="54"/>
    <cellStyle name="Обычный 5 3 6" xfId="127"/>
    <cellStyle name="Обычный 5 4" xfId="27"/>
    <cellStyle name="Обычный 5 4 2" xfId="74"/>
    <cellStyle name="Обычный 5 4 3" xfId="108"/>
    <cellStyle name="Обычный 5 4 4" xfId="46"/>
    <cellStyle name="Обычный 5 4 5" xfId="142"/>
    <cellStyle name="Обычный 5 5" xfId="20"/>
    <cellStyle name="Обычный 5 5 2" xfId="101"/>
    <cellStyle name="Обычный 5 5 3" xfId="67"/>
    <cellStyle name="Обычный 5 5 4" xfId="135"/>
    <cellStyle name="Обычный 5 6" xfId="11"/>
    <cellStyle name="Обычный 5 6 2" xfId="92"/>
    <cellStyle name="Обычный 5 6 3" xfId="58"/>
    <cellStyle name="Обычный 5 6 4" xfId="126"/>
    <cellStyle name="Обычный 5 7" xfId="86"/>
    <cellStyle name="Обычный 5 8" xfId="39"/>
    <cellStyle name="Обычный 5 9" xfId="120"/>
    <cellStyle name="Обычный 6" xfId="21"/>
    <cellStyle name="Обычный 6 2" xfId="68"/>
    <cellStyle name="Обычный 6 3" xfId="102"/>
    <cellStyle name="Обычный 6 4" xfId="40"/>
    <cellStyle name="Обычный 6 5" xfId="13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E218" sqref="E21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5" t="s">
        <v>177</v>
      </c>
      <c r="B2" s="185"/>
      <c r="C2" s="185"/>
      <c r="D2" s="185"/>
      <c r="E2" s="185"/>
      <c r="F2" s="185"/>
      <c r="G2" s="185"/>
      <c r="H2" s="185"/>
      <c r="I2" s="185"/>
      <c r="J2" s="185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7"/>
      <c r="L8" s="186"/>
      <c r="M8" s="107"/>
      <c r="N8" s="107"/>
      <c r="O8" s="68" t="s">
        <v>83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7"/>
      <c r="L9" s="186"/>
      <c r="M9" s="107"/>
      <c r="N9" s="107"/>
      <c r="O9" s="68" t="s">
        <v>84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485103.01</v>
      </c>
      <c r="K10" s="107"/>
      <c r="L10" s="186"/>
      <c r="M10" s="107"/>
      <c r="N10" s="107"/>
      <c r="O10" s="68" t="s">
        <v>85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497574.12</v>
      </c>
      <c r="K11" s="107"/>
      <c r="L11" s="186"/>
      <c r="M11" s="107"/>
      <c r="N11" s="107"/>
      <c r="O11" s="68" t="s">
        <v>86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389679.72</v>
      </c>
      <c r="K12" s="107"/>
      <c r="L12" s="186"/>
      <c r="M12" s="107"/>
      <c r="N12" s="107"/>
      <c r="O12" s="68" t="s">
        <v>87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107894.40000000001</v>
      </c>
      <c r="K13" s="107"/>
      <c r="L13" s="186"/>
      <c r="M13" s="107"/>
      <c r="N13" s="107"/>
      <c r="O13" s="68" t="s">
        <v>88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0</v>
      </c>
      <c r="K14" s="107"/>
      <c r="L14" s="186"/>
      <c r="M14" s="107"/>
      <c r="N14" s="107"/>
      <c r="O14" s="68" t="s">
        <v>89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664935.1</v>
      </c>
      <c r="K15" s="107"/>
      <c r="L15" s="186"/>
      <c r="M15" s="107"/>
      <c r="N15" s="107"/>
      <c r="O15" s="68" t="s">
        <v>90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664935.1</v>
      </c>
      <c r="K16" s="107"/>
      <c r="L16" s="186"/>
      <c r="M16" s="107"/>
      <c r="N16" s="107"/>
      <c r="O16" s="68" t="s">
        <v>91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7"/>
      <c r="L17" s="186"/>
      <c r="M17" s="107"/>
      <c r="N17" s="107"/>
      <c r="O17" s="68" t="s">
        <v>92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7"/>
      <c r="L18" s="186"/>
      <c r="M18" s="107"/>
      <c r="N18" s="107"/>
      <c r="O18" s="68" t="s">
        <v>93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7"/>
      <c r="L19" s="186"/>
      <c r="M19" s="107"/>
      <c r="N19" s="107"/>
      <c r="O19" s="68" t="s">
        <v>94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7"/>
      <c r="L20" s="186"/>
      <c r="M20" s="107"/>
      <c r="N20" s="107"/>
      <c r="O20" s="68" t="s">
        <v>95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664935.1</v>
      </c>
      <c r="K21" s="107"/>
      <c r="L21" s="186"/>
      <c r="M21" s="107"/>
      <c r="N21" s="107"/>
      <c r="O21" s="68" t="s">
        <v>96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7"/>
      <c r="L22" s="186"/>
      <c r="M22" s="107"/>
      <c r="N22" s="107"/>
      <c r="O22" s="68" t="s">
        <v>97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7"/>
      <c r="L23" s="186"/>
      <c r="M23" s="107"/>
      <c r="N23" s="107"/>
      <c r="O23" s="68" t="s">
        <v>98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317742.03000000003</v>
      </c>
      <c r="K24" s="107"/>
      <c r="L24" s="186"/>
      <c r="M24" s="107"/>
      <c r="N24" s="107"/>
      <c r="O24" s="68" t="s">
        <v>99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56</v>
      </c>
      <c r="I27" s="178" t="s">
        <v>21</v>
      </c>
      <c r="J27" s="178"/>
      <c r="K27" s="107"/>
      <c r="L27" s="187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143087.86799999999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7"/>
      <c r="L28" s="187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5">
        <f>VLOOKUP(A29,ПТО!$A$39:$D$53,2,FALSE)</f>
        <v>54252.828000000001</v>
      </c>
      <c r="G29" s="175"/>
      <c r="H29" s="40" t="str">
        <f>VLOOKUP(A29,ПТО!$A$39:$D$53,3,FALSE)</f>
        <v>Ежемесячно</v>
      </c>
      <c r="I29" s="171">
        <f>VLOOKUP(A29,ПТО!$A$39:$D$53,4,FALSE)</f>
        <v>12</v>
      </c>
      <c r="J29" s="171"/>
      <c r="K29" s="107"/>
      <c r="L29" s="187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0" t="str">
        <f>ПТО!A41</f>
        <v xml:space="preserve">Работы по содержанию земельного участка </v>
      </c>
      <c r="B30" s="170"/>
      <c r="C30" s="170"/>
      <c r="D30" s="170"/>
      <c r="E30" s="170"/>
      <c r="F30" s="175">
        <f>VLOOKUP(A30,ПТО!$A$39:$D$53,2,FALSE)</f>
        <v>43148.448000000004</v>
      </c>
      <c r="G30" s="175"/>
      <c r="H30" s="40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7"/>
      <c r="L30" s="187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38072.159999999996</v>
      </c>
      <c r="G31" s="175"/>
      <c r="H31" s="40" t="str">
        <f>VLOOKUP(A31,ПТО!$A$39:$D$53,3,FALSE)</f>
        <v>Ежемесячно</v>
      </c>
      <c r="I31" s="171">
        <f>VLOOKUP(A31,ПТО!$A$39:$D$53,4,FALSE)</f>
        <v>12</v>
      </c>
      <c r="J31" s="171"/>
      <c r="K31" s="107"/>
      <c r="L31" s="187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0" t="e">
        <f>VLOOKUP(A32,ПТО!$A$39:$D$53,3,FALSE)</f>
        <v>#N/A</v>
      </c>
      <c r="I32" s="171" t="e">
        <f>VLOOKUP(A32,ПТО!$A$39:$D$53,4,FALSE)</f>
        <v>#N/A</v>
      </c>
      <c r="J32" s="171"/>
      <c r="K32" s="107"/>
      <c r="L32" s="187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12373.451999999999</v>
      </c>
      <c r="G33" s="175"/>
      <c r="H33" s="40" t="str">
        <f>VLOOKUP(A33,ПТО!$A$39:$D$53,3,FALSE)</f>
        <v>Круглосуточно</v>
      </c>
      <c r="I33" s="171">
        <f>VLOOKUP(A33,ПТО!$A$39:$D$53,4,FALSE)</f>
        <v>12</v>
      </c>
      <c r="J33" s="171"/>
      <c r="K33" s="107"/>
      <c r="L33" s="187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54570.096000000005</v>
      </c>
      <c r="G34" s="175"/>
      <c r="H34" s="40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7"/>
      <c r="L34" s="187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0"/>
      <c r="C35" s="170"/>
      <c r="D35" s="170"/>
      <c r="E35" s="170"/>
      <c r="F35" s="175">
        <f>VLOOKUP(A35,ПТО!$A$39:$D$53,2,FALSE)</f>
        <v>126589.93200000002</v>
      </c>
      <c r="G35" s="175"/>
      <c r="H35" s="40" t="str">
        <f>VLOOKUP(A35,ПТО!$A$39:$D$53,3,FALSE)</f>
        <v>Ежемесячно</v>
      </c>
      <c r="I35" s="171">
        <f>VLOOKUP(A35,ПТО!$A$39:$D$53,4,FALSE)</f>
        <v>12</v>
      </c>
      <c r="J35" s="171"/>
      <c r="K35" s="107"/>
      <c r="L35" s="187"/>
      <c r="M35" s="114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5" t="e">
        <f>VLOOKUP(A36,ПТО!$A$39:$D$53,2,FALSE)</f>
        <v>#N/A</v>
      </c>
      <c r="G36" s="175"/>
      <c r="H36" s="40" t="e">
        <f>VLOOKUP(A36,ПТО!$A$39:$D$53,3,FALSE)</f>
        <v>#N/A</v>
      </c>
      <c r="I36" s="171" t="e">
        <f>VLOOKUP(A36,ПТО!$A$39:$D$53,4,FALSE)</f>
        <v>#N/A</v>
      </c>
      <c r="J36" s="171"/>
      <c r="K36" s="107"/>
      <c r="L36" s="187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0" t="e">
        <f>VLOOKUP(A37,ПТО!$A$39:$D$53,3,FALSE)</f>
        <v>#N/A</v>
      </c>
      <c r="I37" s="171" t="e">
        <f>VLOOKUP(A37,ПТО!$A$39:$D$53,4,FALSE)</f>
        <v>#N/A</v>
      </c>
      <c r="J37" s="171"/>
      <c r="K37" s="107"/>
      <c r="L37" s="187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0" t="e">
        <f>VLOOKUP(A38,ПТО!$A$39:$D$53,3,FALSE)</f>
        <v>#N/A</v>
      </c>
      <c r="I38" s="171" t="e">
        <f>VLOOKUP(A38,ПТО!$A$39:$D$53,4,FALSE)</f>
        <v>#N/A</v>
      </c>
      <c r="J38" s="171"/>
      <c r="K38" s="107"/>
      <c r="L38" s="187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0" t="e">
        <f>VLOOKUP(A39,ПТО!$A$39:$D$53,3,FALSE)</f>
        <v>#N/A</v>
      </c>
      <c r="I39" s="171" t="e">
        <f>VLOOKUP(A39,ПТО!$A$39:$D$53,4,FALSE)</f>
        <v>#N/A</v>
      </c>
      <c r="J39" s="171"/>
      <c r="K39" s="107"/>
      <c r="L39" s="187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0" t="e">
        <f>VLOOKUP(A40,ПТО!$A$39:$D$53,3,FALSE)</f>
        <v>#N/A</v>
      </c>
      <c r="I40" s="171" t="e">
        <f>VLOOKUP(A40,ПТО!$A$39:$D$53,4,FALSE)</f>
        <v>#N/A</v>
      </c>
      <c r="J40" s="171"/>
      <c r="K40" s="107"/>
      <c r="L40" s="187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0" t="e">
        <f>VLOOKUP(A41,ПТО!$A$39:$D$53,3,FALSE)</f>
        <v>#N/A</v>
      </c>
      <c r="I41" s="171" t="e">
        <f>VLOOKUP(A41,ПТО!$A$39:$D$53,4,FALSE)</f>
        <v>#N/A</v>
      </c>
      <c r="J41" s="171"/>
      <c r="K41" s="107"/>
      <c r="L41" s="187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0" t="e">
        <f>VLOOKUP(A42,ПТО!$A$39:$D$53,3,FALSE)</f>
        <v>#N/A</v>
      </c>
      <c r="I42" s="171" t="e">
        <f>VLOOKUP(A42,ПТО!$A$39:$D$53,4,FALSE)</f>
        <v>#N/A</v>
      </c>
      <c r="J42" s="171"/>
      <c r="K42" s="107"/>
      <c r="L42" s="187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70" t="str">
        <f>ПТО!A2</f>
        <v>Техническое обслуживание системы видеонаблюдения.</v>
      </c>
      <c r="B43" s="170"/>
      <c r="C43" s="170"/>
      <c r="D43" s="170"/>
      <c r="E43" s="170"/>
      <c r="F43" s="175">
        <f>VLOOKUP(A43,ПТО!$A$2:$D$31,4,FALSE)</f>
        <v>18000</v>
      </c>
      <c r="G43" s="175"/>
      <c r="H43" s="19" t="str">
        <f>VLOOKUP(A43,ПТО!$A$2:$D$31,2,FALSE)</f>
        <v>ежемесячно</v>
      </c>
      <c r="I43" s="171">
        <f>VLOOKUP(A43,ПТО!$A$2:$D$31,3,FALSE)</f>
        <v>12</v>
      </c>
      <c r="J43" s="171"/>
      <c r="K43" s="107"/>
      <c r="L43" s="187"/>
      <c r="M43" s="114"/>
      <c r="N43" s="107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70" t="str">
        <f>ПТО!A3</f>
        <v>Техническое освидетельствование лифта.</v>
      </c>
      <c r="B44" s="170"/>
      <c r="C44" s="170"/>
      <c r="D44" s="170"/>
      <c r="E44" s="170"/>
      <c r="F44" s="175">
        <f>VLOOKUP(A44,ПТО!$A$2:$D$31,4,FALSE)</f>
        <v>4100</v>
      </c>
      <c r="G44" s="175"/>
      <c r="H44" s="25" t="str">
        <f>VLOOKUP(A44,ПТО!$A$2:$D$31,2,FALSE)</f>
        <v>ежегодно</v>
      </c>
      <c r="I44" s="171">
        <f>VLOOKUP(A44,ПТО!$A$2:$D$31,3,FALSE)</f>
        <v>1</v>
      </c>
      <c r="J44" s="171"/>
      <c r="K44" s="107"/>
      <c r="L44" s="187"/>
      <c r="M44" s="114"/>
      <c r="N44" s="107"/>
      <c r="O44" s="23" t="str">
        <f t="shared" si="1"/>
        <v>Техническое освидетельствование лифта.</v>
      </c>
      <c r="R44" s="22" t="s">
        <v>71</v>
      </c>
    </row>
    <row r="45" spans="1:18" ht="51" customHeight="1" outlineLevel="1">
      <c r="A45" s="170" t="str">
        <f>ПТО!A4</f>
        <v>Механизированная уборка и вывоз снега с придомовой территории.</v>
      </c>
      <c r="B45" s="170"/>
      <c r="C45" s="170"/>
      <c r="D45" s="170"/>
      <c r="E45" s="170"/>
      <c r="F45" s="175">
        <f>VLOOKUP(A45,ПТО!$A$2:$D$31,4,FALSE)</f>
        <v>8886</v>
      </c>
      <c r="G45" s="175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7"/>
      <c r="L45" s="187"/>
      <c r="M45" s="114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0" t="str">
        <f>ПТО!A5</f>
        <v>Приобретение и замена шарового крана Ду20, трубы Ду 20 (2 м.), муфты Ду20 на 15.</v>
      </c>
      <c r="B46" s="170"/>
      <c r="C46" s="170"/>
      <c r="D46" s="170"/>
      <c r="E46" s="170"/>
      <c r="F46" s="175">
        <f>VLOOKUP(A46,ПТО!$A$2:$D$31,4,FALSE)</f>
        <v>658</v>
      </c>
      <c r="G46" s="175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7"/>
      <c r="L46" s="187"/>
      <c r="M46" s="114"/>
      <c r="N46" s="107"/>
      <c r="O46" s="23" t="str">
        <f t="shared" si="1"/>
        <v>Приобретение и замена шарового крана Ду20, трубы Ду 20 (2 м.), муфты Ду20 на 15.</v>
      </c>
      <c r="R46" s="22" t="s">
        <v>71</v>
      </c>
    </row>
    <row r="47" spans="1:18" ht="51" customHeight="1" outlineLevel="1">
      <c r="A47" s="170" t="str">
        <f>ПТО!A6</f>
        <v>Ремонт термометра сопротивления на подающем трубопроводе.</v>
      </c>
      <c r="B47" s="170"/>
      <c r="C47" s="170"/>
      <c r="D47" s="170"/>
      <c r="E47" s="170"/>
      <c r="F47" s="175">
        <f>VLOOKUP(A47,ПТО!$A$2:$D$31,4,FALSE)</f>
        <v>16000</v>
      </c>
      <c r="G47" s="175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7"/>
      <c r="L47" s="187"/>
      <c r="M47" s="114"/>
      <c r="N47" s="107"/>
      <c r="O47" s="23" t="str">
        <f t="shared" si="1"/>
        <v>Ремонт термометра сопротивления на подающем трубопроводе.</v>
      </c>
      <c r="R47" s="22" t="s">
        <v>71</v>
      </c>
    </row>
    <row r="48" spans="1:18" ht="51" customHeight="1" outlineLevel="1">
      <c r="A48" s="170" t="str">
        <f>ПТО!A7</f>
        <v>Пуско-наладочные работы комплекта термопреобразователя сопротивления.</v>
      </c>
      <c r="B48" s="170"/>
      <c r="C48" s="170"/>
      <c r="D48" s="170"/>
      <c r="E48" s="170"/>
      <c r="F48" s="175">
        <f>VLOOKUP(A48,ПТО!$A$2:$D$31,4,FALSE)</f>
        <v>1920</v>
      </c>
      <c r="G48" s="175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7"/>
      <c r="L48" s="187"/>
      <c r="M48" s="114"/>
      <c r="N48" s="107"/>
      <c r="O48" s="23" t="str">
        <f t="shared" si="1"/>
        <v>Пуско-наладочные работы комплекта термопреобразователя сопротивления.</v>
      </c>
      <c r="R48" s="22" t="s">
        <v>71</v>
      </c>
    </row>
    <row r="49" spans="1:18" ht="51" customHeight="1" outlineLevel="1">
      <c r="A49" s="170" t="str">
        <f>ПТО!A8</f>
        <v>Изготовление и монтаж водосточной системы над козырьком подъезда.</v>
      </c>
      <c r="B49" s="170"/>
      <c r="C49" s="170"/>
      <c r="D49" s="170"/>
      <c r="E49" s="170"/>
      <c r="F49" s="175">
        <f>VLOOKUP(A49,ПТО!$A$2:$D$31,4,FALSE)</f>
        <v>17000</v>
      </c>
      <c r="G49" s="175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7"/>
      <c r="L49" s="187"/>
      <c r="M49" s="114"/>
      <c r="N49" s="107"/>
      <c r="O49" s="23" t="str">
        <f t="shared" si="1"/>
        <v>Изготовление и монтаж водосточной системы над козырьком подъезда.</v>
      </c>
      <c r="R49" s="22" t="s">
        <v>71</v>
      </c>
    </row>
    <row r="50" spans="1:18" ht="51" customHeight="1" outlineLevel="1">
      <c r="A50" s="170" t="str">
        <f>ПТО!A9</f>
        <v>Ремонт прибора учета тепловой энергии (замена платы подключения).</v>
      </c>
      <c r="B50" s="170"/>
      <c r="C50" s="170"/>
      <c r="D50" s="170"/>
      <c r="E50" s="170"/>
      <c r="F50" s="175">
        <f>VLOOKUP(A50,ПТО!$A$2:$D$31,4,FALSE)</f>
        <v>8300</v>
      </c>
      <c r="G50" s="175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07"/>
      <c r="L50" s="187"/>
      <c r="M50" s="114"/>
      <c r="N50" s="107"/>
      <c r="O50" s="23" t="str">
        <f t="shared" si="1"/>
        <v>Ремонт прибора учета тепловой энергии (замена платы подключения).</v>
      </c>
      <c r="R50" s="22" t="s">
        <v>71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5" t="e">
        <f>VLOOKUP(A51,ПТО!$A$2:$D$31,4,FALSE)</f>
        <v>#N/A</v>
      </c>
      <c r="G51" s="175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7"/>
      <c r="L51" s="187"/>
      <c r="M51" s="114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5" t="e">
        <f>VLOOKUP(A52,ПТО!$A$2:$D$31,4,FALSE)</f>
        <v>#N/A</v>
      </c>
      <c r="G52" s="175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7"/>
      <c r="L52" s="187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5" t="e">
        <f>VLOOKUP(A53,ПТО!$A$2:$D$31,4,FALSE)</f>
        <v>#N/A</v>
      </c>
      <c r="G53" s="175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7"/>
      <c r="L53" s="187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5" t="e">
        <f>VLOOKUP(A54,ПТО!$A$2:$D$31,4,FALSE)</f>
        <v>#N/A</v>
      </c>
      <c r="G54" s="175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7"/>
      <c r="L54" s="187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5" t="e">
        <f>VLOOKUP(A55,ПТО!$A$2:$D$31,4,FALSE)</f>
        <v>#N/A</v>
      </c>
      <c r="G55" s="175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7"/>
      <c r="L55" s="187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7"/>
      <c r="L56" s="187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7"/>
      <c r="L57" s="187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7"/>
      <c r="L58" s="187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7"/>
      <c r="L59" s="187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7"/>
      <c r="L60" s="187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7"/>
      <c r="L61" s="187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7"/>
      <c r="L62" s="187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7"/>
      <c r="L63" s="187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7"/>
      <c r="L64" s="187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7"/>
      <c r="L65" s="187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7"/>
      <c r="L66" s="187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7"/>
      <c r="L67" s="187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7"/>
      <c r="L68" s="187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7"/>
      <c r="L69" s="187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7"/>
      <c r="L70" s="187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4"/>
      <c r="L71" s="187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7"/>
      <c r="L72" s="187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175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88" t="s">
        <v>26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7"/>
      <c r="L75" s="190"/>
      <c r="M75" s="107"/>
      <c r="N75" s="107"/>
      <c r="O75" s="68" t="s">
        <v>100</v>
      </c>
    </row>
    <row r="76" spans="1:16384" ht="18.75" customHeight="1" outlineLevel="1">
      <c r="A76" s="188" t="s">
        <v>27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7"/>
      <c r="L76" s="190"/>
      <c r="M76" s="107"/>
      <c r="N76" s="107"/>
      <c r="O76" s="68" t="s">
        <v>101</v>
      </c>
    </row>
    <row r="77" spans="1:16384" ht="21.75" customHeight="1" outlineLevel="1">
      <c r="A77" s="188" t="s">
        <v>28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7"/>
      <c r="L77" s="190"/>
      <c r="M77" s="107"/>
      <c r="N77" s="107"/>
      <c r="O77" s="68" t="s">
        <v>102</v>
      </c>
    </row>
    <row r="78" spans="1:16384" ht="18.75" customHeight="1" outlineLevel="1">
      <c r="A78" s="188" t="s">
        <v>29</v>
      </c>
      <c r="B78" s="188"/>
      <c r="C78" s="188"/>
      <c r="D78" s="188"/>
      <c r="E78" s="188"/>
      <c r="F78" s="188"/>
      <c r="G78" s="188"/>
      <c r="H78" s="188"/>
      <c r="I78" s="188"/>
      <c r="J78" s="95">
        <f>VLOOKUP(O78,АО,3,FALSE)</f>
        <v>0</v>
      </c>
      <c r="K78" s="107"/>
      <c r="L78" s="190"/>
      <c r="M78" s="107"/>
      <c r="N78" s="107"/>
      <c r="O78" s="68" t="s">
        <v>103</v>
      </c>
    </row>
    <row r="79" spans="1:16384">
      <c r="A79" s="113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5">
        <f t="shared" ref="J81:J90" si="2">VLOOKUP(O81,АО,3,FALSE)</f>
        <v>0</v>
      </c>
      <c r="K81" s="107"/>
      <c r="L81" s="176"/>
      <c r="M81" s="107"/>
      <c r="N81" s="107"/>
      <c r="O81" s="68" t="s">
        <v>104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5">
        <f t="shared" si="2"/>
        <v>0</v>
      </c>
      <c r="K82" s="107"/>
      <c r="L82" s="176"/>
      <c r="M82" s="107"/>
      <c r="N82" s="107"/>
      <c r="O82" s="68" t="s">
        <v>105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5">
        <f t="shared" si="2"/>
        <v>376776.36</v>
      </c>
      <c r="K83" s="107"/>
      <c r="L83" s="176"/>
      <c r="M83" s="107"/>
      <c r="N83" s="107"/>
      <c r="O83" s="68" t="s">
        <v>106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5">
        <f t="shared" si="2"/>
        <v>0</v>
      </c>
      <c r="K84" s="107"/>
      <c r="L84" s="176"/>
      <c r="M84" s="107"/>
      <c r="N84" s="107"/>
      <c r="O84" s="68" t="s">
        <v>107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5">
        <f t="shared" si="2"/>
        <v>0</v>
      </c>
      <c r="K85" s="107"/>
      <c r="L85" s="176"/>
      <c r="M85" s="107"/>
      <c r="N85" s="107"/>
      <c r="O85" s="68" t="s">
        <v>108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5">
        <f t="shared" si="2"/>
        <v>294282.59000000003</v>
      </c>
      <c r="K86" s="107"/>
      <c r="L86" s="176"/>
      <c r="M86" s="107"/>
      <c r="N86" s="107"/>
      <c r="O86" s="68" t="s">
        <v>109</v>
      </c>
    </row>
    <row r="87" spans="1:15" ht="18.75" customHeight="1" outlineLevel="1">
      <c r="A87" s="182" t="s">
        <v>26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7"/>
      <c r="L87" s="176"/>
      <c r="M87" s="107"/>
      <c r="N87" s="107"/>
      <c r="O87" s="68" t="s">
        <v>110</v>
      </c>
    </row>
    <row r="88" spans="1:15" ht="18.75" customHeight="1" outlineLevel="1">
      <c r="A88" s="182" t="s">
        <v>27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7"/>
      <c r="L88" s="176"/>
      <c r="M88" s="107"/>
      <c r="N88" s="107"/>
      <c r="O88" s="68" t="s">
        <v>111</v>
      </c>
    </row>
    <row r="89" spans="1:15" ht="18.75" customHeight="1" outlineLevel="1">
      <c r="A89" s="182" t="s">
        <v>28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7"/>
      <c r="L89" s="176"/>
      <c r="M89" s="107"/>
      <c r="N89" s="107"/>
      <c r="O89" s="68" t="s">
        <v>112</v>
      </c>
    </row>
    <row r="90" spans="1:15" ht="18.75" customHeight="1" outlineLevel="1">
      <c r="A90" s="182" t="s">
        <v>29</v>
      </c>
      <c r="B90" s="183"/>
      <c r="C90" s="183"/>
      <c r="D90" s="183"/>
      <c r="E90" s="183"/>
      <c r="F90" s="183"/>
      <c r="G90" s="183"/>
      <c r="H90" s="183"/>
      <c r="I90" s="184"/>
      <c r="J90" s="95">
        <f t="shared" si="2"/>
        <v>0</v>
      </c>
      <c r="K90" s="107"/>
      <c r="L90" s="176"/>
      <c r="M90" s="107"/>
      <c r="N90" s="107"/>
      <c r="O90" s="68" t="s">
        <v>113</v>
      </c>
    </row>
    <row r="91" spans="1:15">
      <c r="A91" s="102" t="s">
        <v>175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91" t="s">
        <v>47</v>
      </c>
      <c r="B93" s="191"/>
      <c r="C93" s="191"/>
      <c r="D93" s="192" t="s">
        <v>48</v>
      </c>
      <c r="E93" s="192"/>
      <c r="F93" s="10" t="s">
        <v>49</v>
      </c>
      <c r="G93" s="191" t="s">
        <v>50</v>
      </c>
      <c r="H93" s="191"/>
      <c r="I93" s="191"/>
      <c r="J93" s="191"/>
      <c r="K93" s="107"/>
      <c r="L93" s="107"/>
      <c r="M93" s="107"/>
      <c r="N93" s="107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4">
        <f>VLOOKUP("эл",АО,5,FALSE)</f>
        <v>156471.12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outlineLevel="2">
      <c r="A95" s="189" t="str">
        <f>IF(VLOOKUP("эл",АО,3,FALSE)&gt;0,VLOOKUP("эл1",АО,2,FALSE),0)</f>
        <v>Общий объем потребления, нат. показ.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104314.08</v>
      </c>
      <c r="L95" s="177"/>
      <c r="O95" s="1" t="s">
        <v>114</v>
      </c>
    </row>
    <row r="96" spans="1:15" outlineLevel="2">
      <c r="A96" s="189" t="str">
        <f>IF(VLOOKUP("эл",АО,3,FALSE)&gt;0,VLOOKUP("эл2",АО,2,FALSE),0)</f>
        <v>Оплачено потребителями, руб.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188722</v>
      </c>
      <c r="L96" s="177"/>
      <c r="O96" s="1" t="s">
        <v>115</v>
      </c>
    </row>
    <row r="97" spans="1:15" outlineLevel="2">
      <c r="A97" s="189" t="str">
        <f>IF(VLOOKUP("эл",АО,3,FALSE)&gt;0,VLOOKUP("эл3",АО,2,FALSE),0)</f>
        <v>Задолженность потребителей, руб.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116</v>
      </c>
    </row>
    <row r="98" spans="1:15" ht="37.5" customHeight="1" outlineLevel="2">
      <c r="A98" s="189" t="str">
        <f>IF(VLOOKUP("эл",АО,3,FALSE)&gt;0,VLOOKUP("эл4",АО,2,FALSE),0)</f>
        <v>Начислено поставщиком (поставщиками) коммунального ресурса, руб.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156471.12</v>
      </c>
      <c r="L98" s="177"/>
      <c r="O98" s="1" t="s">
        <v>117</v>
      </c>
    </row>
    <row r="99" spans="1:15" outlineLevel="2">
      <c r="A99" s="189" t="str">
        <f>IF(VLOOKUP("эл",АО,3,FALSE)&gt;0,VLOOKUP("эл5",АО,2,FALSE),0)</f>
        <v>Оплачено поставщику (поставщикам) коммунального ресурса, руб.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156471.12</v>
      </c>
      <c r="L99" s="177"/>
      <c r="O99" s="1" t="s">
        <v>118</v>
      </c>
    </row>
    <row r="100" spans="1:15" ht="39" customHeight="1" outlineLevel="2">
      <c r="A100" s="18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119</v>
      </c>
    </row>
    <row r="101" spans="1:15" ht="34.5" customHeight="1" outlineLevel="2">
      <c r="A101" s="18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120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4">
        <f>VLOOKUP("хвс",АО,5,FALSE)</f>
        <v>95915.15</v>
      </c>
      <c r="H102" s="173"/>
      <c r="I102" s="173"/>
      <c r="J102" s="173"/>
      <c r="L102" s="177"/>
    </row>
    <row r="103" spans="1:15" outlineLevel="2">
      <c r="A103" s="189" t="str">
        <f t="shared" ref="A103:A109" si="4">IF(VLOOKUP("хвс",АО,3,FALSE)&gt;0,VLOOKUP(O103,АО,2,FALSE),0)</f>
        <v>Общий объем потребления, нат. показ.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6013.49</v>
      </c>
      <c r="L103" s="177"/>
      <c r="O103" s="1" t="s">
        <v>123</v>
      </c>
    </row>
    <row r="104" spans="1:15" ht="18.75" customHeight="1" outlineLevel="2">
      <c r="A104" s="189" t="str">
        <f t="shared" si="4"/>
        <v>Оплачено потребителями, руб.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111749.45</v>
      </c>
      <c r="L104" s="177"/>
      <c r="O104" s="1" t="s">
        <v>124</v>
      </c>
    </row>
    <row r="105" spans="1:15" ht="18.75" customHeight="1" outlineLevel="2">
      <c r="A105" s="189" t="str">
        <f t="shared" si="4"/>
        <v>Задолженность потребителей, руб.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125</v>
      </c>
    </row>
    <row r="106" spans="1:15" ht="36.75" customHeight="1" outlineLevel="2">
      <c r="A106" s="189" t="str">
        <f t="shared" si="4"/>
        <v>Начислено поставщиком (поставщиками) коммунального ресурса, руб.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95915.15</v>
      </c>
      <c r="L106" s="177"/>
      <c r="O106" s="1" t="s">
        <v>126</v>
      </c>
    </row>
    <row r="107" spans="1:15" ht="18.75" customHeight="1" outlineLevel="2">
      <c r="A107" s="189" t="str">
        <f t="shared" si="4"/>
        <v>Оплачено поставщику (поставщикам) коммунального ресурса, руб.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95915.15</v>
      </c>
      <c r="L107" s="177"/>
      <c r="O107" s="1" t="s">
        <v>127</v>
      </c>
    </row>
    <row r="108" spans="1:15" ht="37.5" customHeight="1" outlineLevel="2">
      <c r="A108" s="189" t="str">
        <f t="shared" si="4"/>
        <v>Задолженность перед поставщиком (поставщиками) коммунального ресурса, руб.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128</v>
      </c>
    </row>
    <row r="109" spans="1:15" ht="39.75" customHeight="1" outlineLevel="2">
      <c r="A109" s="189" t="str">
        <f t="shared" si="4"/>
        <v>Размер пени и штрафов, уплаченных поставщику (поставщикам) коммунального ресурса, руб.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129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4">
        <f>VLOOKUP("воо",АО,5,FALSE)</f>
        <v>100192.46</v>
      </c>
      <c r="H110" s="173"/>
      <c r="I110" s="173"/>
      <c r="J110" s="173"/>
      <c r="L110" s="177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5167.22</v>
      </c>
      <c r="L111" s="177"/>
      <c r="O111" s="1" t="s">
        <v>131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104951.63</v>
      </c>
      <c r="L112" s="177"/>
      <c r="O112" s="1" t="s">
        <v>132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77"/>
      <c r="O113" s="1" t="s">
        <v>133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100192.46</v>
      </c>
      <c r="L114" s="177"/>
      <c r="O114" s="1" t="s">
        <v>134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100192.46</v>
      </c>
      <c r="L115" s="177"/>
      <c r="O115" s="1" t="s">
        <v>135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136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137</v>
      </c>
    </row>
    <row r="118" spans="1:15" ht="32.25" customHeight="1" outlineLevel="1">
      <c r="A118" s="172" t="str">
        <f>IF(VLOOKUP("тко",АО,3,FALSE)&gt;0,"Обращение с ТКО",0)</f>
        <v>Обращение с ТКО</v>
      </c>
      <c r="B118" s="172"/>
      <c r="C118" s="172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4">
        <f>VLOOKUP("тко",АО,5,FALSE)</f>
        <v>104941.9</v>
      </c>
      <c r="H118" s="173"/>
      <c r="I118" s="173"/>
      <c r="J118" s="173"/>
      <c r="L118" s="45"/>
    </row>
    <row r="119" spans="1:15" ht="32.25" customHeight="1" outlineLevel="2">
      <c r="A119" s="168" t="str">
        <f t="shared" ref="A119:A125" si="8">IF(VLOOKUP("тко",АО,3,FALSE)&gt;0,VLOOKUP(O119,АО,2,FALSE),0)</f>
        <v>Общий объем потребления, нат. показ.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177.31</v>
      </c>
      <c r="L119" s="45"/>
      <c r="O119" s="1" t="s">
        <v>139</v>
      </c>
    </row>
    <row r="120" spans="1:15" ht="32.25" customHeight="1" outlineLevel="2">
      <c r="A120" s="168" t="str">
        <f t="shared" si="8"/>
        <v>Оплачено потребителями, руб.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134591.32</v>
      </c>
      <c r="L120" s="45"/>
      <c r="O120" s="1" t="s">
        <v>140</v>
      </c>
    </row>
    <row r="121" spans="1:15" ht="32.25" customHeight="1" outlineLevel="2">
      <c r="A121" s="168" t="str">
        <f t="shared" si="8"/>
        <v>Задолженность потребителей, руб.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5"/>
      <c r="O121" s="1" t="s">
        <v>141</v>
      </c>
    </row>
    <row r="122" spans="1:15" ht="32.25" customHeight="1" outlineLevel="2">
      <c r="A122" s="168" t="str">
        <f t="shared" si="8"/>
        <v>Начислено поставщиком (поставщиками) коммунального ресурса, руб.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104941.9</v>
      </c>
      <c r="L122" s="45"/>
      <c r="O122" s="1" t="s">
        <v>142</v>
      </c>
    </row>
    <row r="123" spans="1:15" ht="32.25" customHeight="1" outlineLevel="2">
      <c r="A123" s="168" t="str">
        <f t="shared" si="8"/>
        <v>Оплачено поставщику (поставщикам) коммунального ресурса, руб.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104941.9</v>
      </c>
      <c r="L123" s="45"/>
      <c r="O123" s="1" t="s">
        <v>143</v>
      </c>
    </row>
    <row r="124" spans="1:15" ht="32.25" customHeight="1" outlineLevel="2">
      <c r="A124" s="168" t="str">
        <f t="shared" si="8"/>
        <v>Задолженность перед поставщиком (поставщиками) коммунального ресурса, руб.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5"/>
      <c r="O124" s="1" t="s">
        <v>144</v>
      </c>
    </row>
    <row r="125" spans="1:15" ht="32.25" customHeight="1" outlineLevel="2">
      <c r="A125" s="168" t="str">
        <f t="shared" si="8"/>
        <v>Размер пени и штрафов, уплаченных поставщику (поставщикам) коммунального ресурса, руб.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5"/>
      <c r="O125" s="1" t="s">
        <v>145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4">
        <f>VLOOKUP("гвс",АО,5,FALSE)</f>
        <v>0</v>
      </c>
      <c r="H126" s="173"/>
      <c r="I126" s="173"/>
      <c r="J126" s="173"/>
      <c r="L126" s="45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5"/>
      <c r="O127" s="1" t="s">
        <v>147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5"/>
      <c r="O128" s="1" t="s">
        <v>148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5"/>
      <c r="O129" s="1" t="s">
        <v>149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5"/>
      <c r="O130" s="1" t="s">
        <v>150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5"/>
      <c r="O131" s="1" t="s">
        <v>151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5"/>
      <c r="O132" s="1" t="s">
        <v>152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5"/>
      <c r="O133" s="1" t="s">
        <v>153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5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5"/>
      <c r="O135" s="1" t="s">
        <v>155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5"/>
      <c r="O136" s="1" t="s">
        <v>156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5"/>
      <c r="O137" s="1" t="s">
        <v>157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5"/>
      <c r="O138" s="1" t="s">
        <v>158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5"/>
      <c r="O139" s="1" t="s">
        <v>159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5"/>
      <c r="O140" s="1" t="s">
        <v>160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5"/>
      <c r="O141" s="1" t="s">
        <v>161</v>
      </c>
    </row>
    <row r="143" spans="1:15">
      <c r="A143" s="11" t="s">
        <v>43</v>
      </c>
    </row>
    <row r="144" spans="1:15" ht="18.75" customHeight="1" outlineLevel="1">
      <c r="A144" s="168" t="s">
        <v>44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171</v>
      </c>
    </row>
    <row r="145" spans="1:15" ht="18.75" customHeight="1" outlineLevel="1">
      <c r="A145" s="168" t="s">
        <v>45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8" t="s">
        <v>174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173</v>
      </c>
    </row>
    <row r="149" spans="1:15" ht="52.5" customHeight="1">
      <c r="A149" s="193" t="s">
        <v>178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5" t="s">
        <v>187</v>
      </c>
      <c r="B154" s="195"/>
      <c r="C154" s="195"/>
      <c r="D154" s="195"/>
      <c r="E154" s="27">
        <f>ПТО!G1</f>
        <v>-146576.72</v>
      </c>
    </row>
    <row r="155" spans="1:15" ht="34.5" customHeight="1">
      <c r="A155" s="194" t="s">
        <v>191</v>
      </c>
      <c r="B155" s="194"/>
      <c r="C155" s="194"/>
      <c r="D155" s="194"/>
      <c r="E155" s="28">
        <f>J13</f>
        <v>107894.40000000001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56</v>
      </c>
      <c r="I157" s="178" t="s">
        <v>21</v>
      </c>
      <c r="J157" s="178"/>
    </row>
    <row r="158" spans="1:15" ht="29.25" customHeight="1">
      <c r="A158" s="170" t="str">
        <f t="shared" ref="A158:A163" si="14">IF(N158&gt;0,N158,0)</f>
        <v>Техническое обслуживание системы видеонаблюдения.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18000</v>
      </c>
      <c r="G158" s="175"/>
      <c r="H158" s="24" t="str">
        <f t="shared" ref="H158:H187" si="16">VLOOKUP(A158,$A$28:$J$72,8,FALSE)</f>
        <v>ежемесячно</v>
      </c>
      <c r="I158" s="171">
        <f t="shared" ref="I158:I161" si="17">VLOOKUP(A158,$A$28:$J$72,9,FALSE)</f>
        <v>12</v>
      </c>
      <c r="J158" s="171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0" t="str">
        <f t="shared" si="14"/>
        <v>Техническое освидетельствование лифта.</v>
      </c>
      <c r="B159" s="170"/>
      <c r="C159" s="170"/>
      <c r="D159" s="170"/>
      <c r="E159" s="170"/>
      <c r="F159" s="175">
        <f t="shared" si="15"/>
        <v>4100</v>
      </c>
      <c r="G159" s="175"/>
      <c r="H159" s="24" t="str">
        <f t="shared" si="16"/>
        <v>ежегодно</v>
      </c>
      <c r="I159" s="171">
        <f t="shared" si="17"/>
        <v>1</v>
      </c>
      <c r="J159" s="171"/>
      <c r="M159" s="22" t="s">
        <v>71</v>
      </c>
      <c r="N159" s="1" t="str">
        <v>Техническое освидетельствование лифта.</v>
      </c>
    </row>
    <row r="160" spans="1:15" ht="28.5" customHeight="1">
      <c r="A160" s="170" t="str">
        <f t="shared" si="14"/>
        <v>Механизированная уборка и вывоз снега с придомовой территории.</v>
      </c>
      <c r="B160" s="170"/>
      <c r="C160" s="170"/>
      <c r="D160" s="170"/>
      <c r="E160" s="170"/>
      <c r="F160" s="175">
        <f t="shared" si="15"/>
        <v>8886</v>
      </c>
      <c r="G160" s="175"/>
      <c r="H160" s="24" t="str">
        <f t="shared" si="16"/>
        <v>разово</v>
      </c>
      <c r="I160" s="171">
        <f t="shared" si="17"/>
        <v>1</v>
      </c>
      <c r="J160" s="17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0" t="str">
        <f>IF(N161&gt;0,N161,0)</f>
        <v>Приобретение и замена шарового крана Ду20, трубы Ду 20 (2 м.), муфты Ду20 на 15.</v>
      </c>
      <c r="B161" s="170"/>
      <c r="C161" s="170"/>
      <c r="D161" s="170"/>
      <c r="E161" s="170"/>
      <c r="F161" s="175">
        <f t="shared" si="15"/>
        <v>658</v>
      </c>
      <c r="G161" s="175"/>
      <c r="H161" s="24" t="str">
        <f t="shared" si="16"/>
        <v>разово</v>
      </c>
      <c r="I161" s="171">
        <f t="shared" si="17"/>
        <v>1</v>
      </c>
      <c r="J161" s="171"/>
      <c r="M161" s="22" t="s">
        <v>71</v>
      </c>
      <c r="N161" s="1" t="str">
        <v>Приобретение и замена шарового крана Ду20, трубы Ду 20 (2 м.), муфты Ду20 на 15.</v>
      </c>
    </row>
    <row r="162" spans="1:14" ht="28.5" customHeight="1">
      <c r="A162" s="170" t="str">
        <f t="shared" si="14"/>
        <v>Ремонт термометра сопротивления на подающем трубопроводе.</v>
      </c>
      <c r="B162" s="170"/>
      <c r="C162" s="170"/>
      <c r="D162" s="170"/>
      <c r="E162" s="170"/>
      <c r="F162" s="175">
        <f t="shared" si="15"/>
        <v>16000</v>
      </c>
      <c r="G162" s="175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71</v>
      </c>
      <c r="N162" s="1" t="str">
        <v>Ремонт термометра сопротивления на подающем трубопроводе.</v>
      </c>
    </row>
    <row r="163" spans="1:14" ht="28.5" customHeight="1">
      <c r="A163" s="170" t="str">
        <f t="shared" si="14"/>
        <v>Пуско-наладочные работы комплекта термопреобразователя сопротивления.</v>
      </c>
      <c r="B163" s="170"/>
      <c r="C163" s="170"/>
      <c r="D163" s="170"/>
      <c r="E163" s="170"/>
      <c r="F163" s="175">
        <f t="shared" si="15"/>
        <v>1920</v>
      </c>
      <c r="G163" s="175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71</v>
      </c>
      <c r="N163" s="1" t="str">
        <v>Пуско-наладочные работы комплекта термопреобразователя сопротивления.</v>
      </c>
    </row>
    <row r="164" spans="1:14" ht="28.5" customHeight="1">
      <c r="A164" s="170" t="str">
        <f t="shared" ref="A164:A187" si="18">IF(N164&gt;0,N164,0)</f>
        <v>Изготовление и монтаж водосточной системы над козырьком подъезда.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17000</v>
      </c>
      <c r="G164" s="175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71</v>
      </c>
      <c r="N164" s="1" t="str">
        <v>Изготовление и монтаж водосточной системы над козырьком подъезда.</v>
      </c>
    </row>
    <row r="165" spans="1:14" ht="28.5" customHeight="1">
      <c r="A165" s="170" t="str">
        <f t="shared" si="18"/>
        <v>Ремонт прибора учета тепловой энергии (замена платы подключения).</v>
      </c>
      <c r="B165" s="170"/>
      <c r="C165" s="170"/>
      <c r="D165" s="170"/>
      <c r="E165" s="170"/>
      <c r="F165" s="175">
        <f t="shared" si="19"/>
        <v>8300</v>
      </c>
      <c r="G165" s="175"/>
      <c r="H165" s="29" t="str">
        <f t="shared" si="16"/>
        <v>разово</v>
      </c>
      <c r="I165" s="171">
        <f t="shared" si="20"/>
        <v>1</v>
      </c>
      <c r="J165" s="171"/>
      <c r="M165" s="22" t="s">
        <v>71</v>
      </c>
      <c r="N165" s="1" t="str">
        <v>Ремонт прибора учета тепловой энергии (замена платы подключения).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5">
        <f t="shared" si="19"/>
        <v>0</v>
      </c>
      <c r="G166" s="175"/>
      <c r="H166" s="29" t="e">
        <f t="shared" si="16"/>
        <v>#N/A</v>
      </c>
      <c r="I166" s="171" t="e">
        <f t="shared" si="20"/>
        <v>#N/A</v>
      </c>
      <c r="J166" s="171"/>
      <c r="M166" s="22" t="s">
        <v>71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5">
        <f t="shared" si="19"/>
        <v>0</v>
      </c>
      <c r="G167" s="175"/>
      <c r="H167" s="29" t="e">
        <f t="shared" si="16"/>
        <v>#N/A</v>
      </c>
      <c r="I167" s="171" t="e">
        <f t="shared" si="20"/>
        <v>#N/A</v>
      </c>
      <c r="J167" s="171"/>
      <c r="M167" s="22" t="s">
        <v>71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5">
        <f t="shared" si="19"/>
        <v>0</v>
      </c>
      <c r="G168" s="175"/>
      <c r="H168" s="29" t="e">
        <f t="shared" si="16"/>
        <v>#N/A</v>
      </c>
      <c r="I168" s="171" t="e">
        <f t="shared" si="20"/>
        <v>#N/A</v>
      </c>
      <c r="J168" s="171"/>
      <c r="M168" s="22" t="s">
        <v>71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5">
        <f t="shared" si="19"/>
        <v>0</v>
      </c>
      <c r="G169" s="175"/>
      <c r="H169" s="29" t="e">
        <f t="shared" si="16"/>
        <v>#N/A</v>
      </c>
      <c r="I169" s="171" t="e">
        <f t="shared" si="20"/>
        <v>#N/A</v>
      </c>
      <c r="J169" s="171"/>
      <c r="M169" s="22" t="s">
        <v>71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5">
        <f t="shared" si="19"/>
        <v>0</v>
      </c>
      <c r="G170" s="175"/>
      <c r="H170" s="29" t="e">
        <f t="shared" si="16"/>
        <v>#N/A</v>
      </c>
      <c r="I170" s="171" t="e">
        <f t="shared" si="20"/>
        <v>#N/A</v>
      </c>
      <c r="J170" s="171"/>
      <c r="M170" s="22" t="s">
        <v>71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71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71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71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71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71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71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71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71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71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71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71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71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71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71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71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71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71</v>
      </c>
      <c r="N187" s="1">
        <v>0</v>
      </c>
    </row>
    <row r="188" spans="1:14" ht="29.25" customHeight="1">
      <c r="A188" s="102" t="s">
        <v>175</v>
      </c>
    </row>
    <row r="189" spans="1:14" ht="29.25" customHeight="1">
      <c r="A189" s="102" t="s">
        <v>175</v>
      </c>
    </row>
    <row r="190" spans="1:14" ht="36.75" customHeight="1">
      <c r="A190" s="195" t="s">
        <v>190</v>
      </c>
      <c r="B190" s="195"/>
      <c r="C190" s="195"/>
      <c r="D190" s="195"/>
      <c r="E190" s="27">
        <f>SUM(F158:G187)</f>
        <v>74864</v>
      </c>
    </row>
    <row r="191" spans="1:14" ht="51.75" customHeight="1">
      <c r="A191" s="195" t="s">
        <v>189</v>
      </c>
      <c r="B191" s="195"/>
      <c r="C191" s="195"/>
      <c r="D191" s="195"/>
      <c r="E191" s="27">
        <f>E190+E154-E155</f>
        <v>-179607.12</v>
      </c>
    </row>
    <row r="192" spans="1:14">
      <c r="A192" s="102" t="s">
        <v>175</v>
      </c>
    </row>
    <row r="193" spans="1:10" ht="62.25" customHeight="1">
      <c r="A193" s="169" t="s">
        <v>188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7">
        <f>ПТО!G12</f>
        <v>1200</v>
      </c>
      <c r="I194" s="48" t="s">
        <v>74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47">
        <f>ПТО!G13</f>
        <v>4100</v>
      </c>
      <c r="I195" s="48" t="s">
        <v>74</v>
      </c>
    </row>
    <row r="196" spans="1:10" ht="18.75" customHeight="1">
      <c r="A196" s="167" t="str">
        <f>ПТО!F14</f>
        <v xml:space="preserve">  -  техническое обслуживание системы видеонаблюдения</v>
      </c>
      <c r="B196" s="167"/>
      <c r="C196" s="167"/>
      <c r="D196" s="167"/>
      <c r="E196" s="167"/>
      <c r="F196" s="167"/>
      <c r="G196" s="167"/>
      <c r="H196" s="47">
        <f>ПТО!G14</f>
        <v>18000</v>
      </c>
      <c r="I196" s="48" t="s">
        <v>74</v>
      </c>
    </row>
    <row r="197" spans="1:10" ht="18.75" customHeight="1">
      <c r="A197" s="167" t="str">
        <f>ПТО!F15</f>
        <v xml:space="preserve">  -  благоустройство придомовой территории</v>
      </c>
      <c r="B197" s="167"/>
      <c r="C197" s="167"/>
      <c r="D197" s="167"/>
      <c r="E197" s="167"/>
      <c r="F197" s="167"/>
      <c r="G197" s="167"/>
      <c r="H197" s="47">
        <f>ПТО!G15</f>
        <v>7000</v>
      </c>
      <c r="I197" s="48" t="s">
        <v>74</v>
      </c>
    </row>
    <row r="198" spans="1:10" ht="18.75" customHeight="1">
      <c r="A198" s="167" t="str">
        <f>ПТО!F16</f>
        <v xml:space="preserve">  -  замена прожектора над подъездом</v>
      </c>
      <c r="B198" s="167"/>
      <c r="C198" s="167"/>
      <c r="D198" s="167"/>
      <c r="E198" s="167"/>
      <c r="F198" s="167"/>
      <c r="G198" s="167"/>
      <c r="H198" s="47">
        <f>ПТО!G16</f>
        <v>7500</v>
      </c>
      <c r="I198" s="50" t="s">
        <v>74</v>
      </c>
    </row>
    <row r="199" spans="1:10" ht="18.75" customHeight="1">
      <c r="A199" s="167" t="str">
        <f>ПТО!F17</f>
        <v xml:space="preserve">  -  приобретение и замена доводчика на подъездной двери</v>
      </c>
      <c r="B199" s="167"/>
      <c r="C199" s="167"/>
      <c r="D199" s="167"/>
      <c r="E199" s="167"/>
      <c r="F199" s="167"/>
      <c r="G199" s="167"/>
      <c r="H199" s="47">
        <f>ПТО!G17</f>
        <v>4000</v>
      </c>
      <c r="I199" s="48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47">
        <f>ПТО!G18</f>
        <v>0</v>
      </c>
      <c r="I200" s="48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7">
        <f>ПТО!G19</f>
        <v>0</v>
      </c>
      <c r="I201" s="48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7">
        <f>ПТО!G20</f>
        <v>0</v>
      </c>
      <c r="I202" s="48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7">
        <f>ПТО!G21</f>
        <v>0</v>
      </c>
      <c r="I203" s="48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7">
        <f>ПТО!G22</f>
        <v>0</v>
      </c>
      <c r="I204" s="48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7">
        <f>ПТО!G23</f>
        <v>0</v>
      </c>
      <c r="I205" s="48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7">
        <f>ПТО!G24</f>
        <v>0</v>
      </c>
      <c r="I206" s="48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7">
        <f>ПТО!G25</f>
        <v>0</v>
      </c>
      <c r="I207" s="48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7">
        <f>ПТО!G26</f>
        <v>0</v>
      </c>
      <c r="I208" s="48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7">
        <f>ПТО!G27</f>
        <v>0</v>
      </c>
      <c r="I209" s="48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7">
        <f>ПТО!G28</f>
        <v>0</v>
      </c>
      <c r="I210" s="48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7">
        <f>ПТО!G29</f>
        <v>0</v>
      </c>
      <c r="I211" s="48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7">
        <f>ПТО!G30</f>
        <v>0</v>
      </c>
      <c r="I212" s="48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7">
        <f>ПТО!G31</f>
        <v>0</v>
      </c>
      <c r="I213" s="48" t="s">
        <v>74</v>
      </c>
    </row>
    <row r="214" spans="1:9">
      <c r="A214" s="51" t="s">
        <v>77</v>
      </c>
      <c r="B214" s="52"/>
      <c r="C214" s="52"/>
      <c r="D214" s="52"/>
      <c r="E214" s="52"/>
      <c r="F214" s="52"/>
      <c r="G214" s="52"/>
      <c r="H214" s="53">
        <f>SUM(H194:H213)</f>
        <v>41800</v>
      </c>
      <c r="I214" s="54" t="s">
        <v>78</v>
      </c>
    </row>
  </sheetData>
  <sheetProtection algorithmName="SHA-512" hashValue="budIi0hc4WVV0RXOWNQsQypWS64smdH/mxDO/u/3vFn0Lx1suQZ0zg1SM58OedCxXhzGizCLlOliqvcBkgqJWw==" saltValue="SCe12PLkKQsbpd+PR177O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6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8" t="s">
        <v>19</v>
      </c>
      <c r="B1" s="128" t="s">
        <v>56</v>
      </c>
      <c r="C1" s="128" t="s">
        <v>21</v>
      </c>
      <c r="D1" s="128" t="s">
        <v>20</v>
      </c>
      <c r="E1" s="129"/>
      <c r="F1" s="98" t="s">
        <v>187</v>
      </c>
      <c r="G1" s="99">
        <f>-146576.72</f>
        <v>-146576.72</v>
      </c>
    </row>
    <row r="2" spans="1:12" ht="18.75" customHeight="1">
      <c r="A2" s="130" t="s">
        <v>180</v>
      </c>
      <c r="B2" s="131" t="s">
        <v>181</v>
      </c>
      <c r="C2" s="131">
        <v>12</v>
      </c>
      <c r="D2" s="132">
        <v>18000</v>
      </c>
      <c r="E2" s="133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72</v>
      </c>
      <c r="B3" s="131" t="s">
        <v>182</v>
      </c>
      <c r="C3" s="131">
        <v>1</v>
      </c>
      <c r="D3" s="135">
        <v>4100</v>
      </c>
      <c r="E3" s="133" t="s">
        <v>196</v>
      </c>
      <c r="F3" s="30"/>
      <c r="G3" s="30"/>
      <c r="L3" s="33" t="str">
        <f t="shared" si="0"/>
        <v>ТР</v>
      </c>
    </row>
    <row r="4" spans="1:12" ht="30" customHeight="1">
      <c r="A4" s="136" t="s">
        <v>185</v>
      </c>
      <c r="B4" s="137" t="s">
        <v>184</v>
      </c>
      <c r="C4" s="138">
        <v>1</v>
      </c>
      <c r="D4" s="139">
        <v>8886</v>
      </c>
      <c r="E4" s="140" t="s">
        <v>195</v>
      </c>
      <c r="F4" s="30"/>
      <c r="G4" s="30"/>
      <c r="L4" s="33" t="str">
        <f t="shared" si="0"/>
        <v>ТР</v>
      </c>
    </row>
    <row r="5" spans="1:12" ht="18.75" customHeight="1">
      <c r="A5" s="141" t="s">
        <v>193</v>
      </c>
      <c r="B5" s="142" t="s">
        <v>184</v>
      </c>
      <c r="C5" s="143">
        <v>1</v>
      </c>
      <c r="D5" s="144">
        <v>658</v>
      </c>
      <c r="E5" s="145" t="s">
        <v>192</v>
      </c>
      <c r="F5" s="42"/>
      <c r="G5" s="42"/>
      <c r="K5" s="44"/>
      <c r="L5" s="33" t="str">
        <f t="shared" si="0"/>
        <v>ТР</v>
      </c>
    </row>
    <row r="6" spans="1:12" ht="18.75" customHeight="1">
      <c r="A6" s="146" t="s">
        <v>197</v>
      </c>
      <c r="B6" s="147" t="s">
        <v>184</v>
      </c>
      <c r="C6" s="148">
        <v>1</v>
      </c>
      <c r="D6" s="132">
        <v>16000</v>
      </c>
      <c r="E6" s="149" t="s">
        <v>201</v>
      </c>
      <c r="F6" s="42"/>
      <c r="G6" s="42"/>
      <c r="K6" s="44"/>
      <c r="L6" s="33" t="str">
        <f t="shared" si="0"/>
        <v>ТР</v>
      </c>
    </row>
    <row r="7" spans="1:12" ht="18.75" customHeight="1">
      <c r="A7" s="150" t="s">
        <v>198</v>
      </c>
      <c r="B7" s="151" t="s">
        <v>184</v>
      </c>
      <c r="C7" s="152">
        <v>1</v>
      </c>
      <c r="D7" s="153">
        <v>1920</v>
      </c>
      <c r="E7" s="140" t="s">
        <v>200</v>
      </c>
      <c r="F7" s="43"/>
      <c r="G7" s="43"/>
      <c r="K7" s="44"/>
      <c r="L7" s="33" t="str">
        <f t="shared" si="0"/>
        <v>ТР</v>
      </c>
    </row>
    <row r="8" spans="1:12" ht="18.75" customHeight="1">
      <c r="A8" s="154" t="s">
        <v>194</v>
      </c>
      <c r="B8" s="155" t="s">
        <v>184</v>
      </c>
      <c r="C8" s="156">
        <v>1</v>
      </c>
      <c r="D8" s="157">
        <v>17000</v>
      </c>
      <c r="E8" s="158" t="s">
        <v>203</v>
      </c>
      <c r="F8" s="43"/>
      <c r="G8" s="43"/>
      <c r="K8" s="41"/>
      <c r="L8" s="33" t="str">
        <f t="shared" si="0"/>
        <v>ТР</v>
      </c>
    </row>
    <row r="9" spans="1:12" ht="30">
      <c r="A9" s="159" t="s">
        <v>199</v>
      </c>
      <c r="B9" s="151" t="s">
        <v>184</v>
      </c>
      <c r="C9" s="152">
        <v>1</v>
      </c>
      <c r="D9" s="153">
        <v>8300</v>
      </c>
      <c r="E9" s="158" t="s">
        <v>204</v>
      </c>
      <c r="F9" s="42"/>
      <c r="G9" s="42"/>
      <c r="K9" s="41"/>
      <c r="L9" s="33" t="str">
        <f t="shared" si="0"/>
        <v>ТР</v>
      </c>
    </row>
    <row r="10" spans="1:12">
      <c r="A10" s="165"/>
      <c r="B10" s="166"/>
      <c r="C10" s="151"/>
      <c r="D10" s="140"/>
      <c r="E10" s="133"/>
      <c r="L10" s="33">
        <f t="shared" si="0"/>
        <v>0</v>
      </c>
    </row>
    <row r="11" spans="1:12" ht="94.5">
      <c r="A11" s="119"/>
      <c r="B11" s="120"/>
      <c r="C11" s="118"/>
      <c r="D11" s="122"/>
      <c r="E11" s="121"/>
      <c r="F11" s="109" t="s">
        <v>188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4100</v>
      </c>
      <c r="L13" s="33">
        <f t="shared" si="0"/>
        <v>0</v>
      </c>
    </row>
    <row r="14" spans="1:12" ht="31.5">
      <c r="A14" s="30"/>
      <c r="F14" s="110" t="s">
        <v>76</v>
      </c>
      <c r="G14" s="112">
        <v>18000</v>
      </c>
      <c r="L14" s="33">
        <f t="shared" si="0"/>
        <v>0</v>
      </c>
    </row>
    <row r="15" spans="1:12" ht="15.75">
      <c r="A15" s="30"/>
      <c r="F15" s="7" t="s">
        <v>186</v>
      </c>
      <c r="G15" s="127">
        <v>7000</v>
      </c>
      <c r="L15" s="33">
        <f t="shared" si="0"/>
        <v>0</v>
      </c>
    </row>
    <row r="16" spans="1:12" ht="15.75">
      <c r="A16" s="30"/>
      <c r="F16" s="7" t="s">
        <v>208</v>
      </c>
      <c r="G16" s="127">
        <v>7500</v>
      </c>
      <c r="L16" s="33">
        <f t="shared" si="0"/>
        <v>0</v>
      </c>
    </row>
    <row r="17" spans="1:12" ht="31.5">
      <c r="A17" s="30"/>
      <c r="F17" s="110" t="s">
        <v>207</v>
      </c>
      <c r="G17" s="111">
        <v>4000</v>
      </c>
      <c r="L17" s="33">
        <f t="shared" si="0"/>
        <v>0</v>
      </c>
    </row>
    <row r="18" spans="1:12" ht="15.75">
      <c r="A18" s="30"/>
      <c r="F18" s="110"/>
      <c r="G18" s="111"/>
      <c r="L18" s="33">
        <f t="shared" si="0"/>
        <v>0</v>
      </c>
    </row>
    <row r="19" spans="1:12" ht="15.75">
      <c r="A19" s="30"/>
      <c r="F19" s="116"/>
      <c r="G19" s="117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60" t="s">
        <v>22</v>
      </c>
      <c r="B39" s="161">
        <f>F39*G39*'Абонентский отдел'!$F$1</f>
        <v>143087.86799999999</v>
      </c>
      <c r="C39" s="161" t="s">
        <v>67</v>
      </c>
      <c r="D39" s="162">
        <v>12</v>
      </c>
      <c r="E39" s="34"/>
      <c r="F39" s="123">
        <v>4.51</v>
      </c>
      <c r="G39" s="125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143087.86799999999</v>
      </c>
      <c r="O39" s="39" t="str">
        <f>C39</f>
        <v>Ежемесячно</v>
      </c>
      <c r="P39">
        <f>D39</f>
        <v>12</v>
      </c>
    </row>
    <row r="40" spans="1:16" ht="31.5" customHeight="1">
      <c r="A40" s="160" t="s">
        <v>176</v>
      </c>
      <c r="B40" s="161">
        <f>F40*G40*'Абонентский отдел'!$F$1</f>
        <v>54252.828000000001</v>
      </c>
      <c r="C40" s="161" t="s">
        <v>67</v>
      </c>
      <c r="D40" s="162">
        <v>12</v>
      </c>
      <c r="E40" s="34"/>
      <c r="F40" s="123">
        <v>1.71</v>
      </c>
      <c r="G40" s="125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54252.828000000001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0" t="s">
        <v>205</v>
      </c>
      <c r="B41" s="161">
        <f>F41*G41*'Абонентский отдел'!$F$1</f>
        <v>43148.448000000004</v>
      </c>
      <c r="C41" s="161" t="s">
        <v>68</v>
      </c>
      <c r="D41" s="162">
        <v>12</v>
      </c>
      <c r="E41" s="34"/>
      <c r="F41" s="123">
        <v>1.36</v>
      </c>
      <c r="G41" s="125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43148.448000000004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0" t="s">
        <v>23</v>
      </c>
      <c r="B42" s="161">
        <f>F42*G42*'Абонентский отдел'!$F$1</f>
        <v>38072.159999999996</v>
      </c>
      <c r="C42" s="161" t="s">
        <v>67</v>
      </c>
      <c r="D42" s="162">
        <v>12</v>
      </c>
      <c r="E42" s="34"/>
      <c r="F42" s="164">
        <v>1.2</v>
      </c>
      <c r="G42" s="125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38072.159999999996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60"/>
      <c r="B43" s="161"/>
      <c r="C43" s="161"/>
      <c r="D43" s="162"/>
      <c r="E43" s="34"/>
      <c r="F43" s="123"/>
      <c r="G43" s="125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60" t="s">
        <v>24</v>
      </c>
      <c r="B44" s="161">
        <f>F44*G44*'Абонентский отдел'!$F$1</f>
        <v>12373.451999999999</v>
      </c>
      <c r="C44" s="161" t="s">
        <v>69</v>
      </c>
      <c r="D44" s="162">
        <v>12</v>
      </c>
      <c r="E44" s="34"/>
      <c r="F44" s="164">
        <v>0.39</v>
      </c>
      <c r="G44" s="125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12373.451999999999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0" t="s">
        <v>25</v>
      </c>
      <c r="B45" s="161">
        <f>F45*G45*'Абонентский отдел'!$F$1</f>
        <v>54570.096000000005</v>
      </c>
      <c r="C45" s="161" t="s">
        <v>68</v>
      </c>
      <c r="D45" s="162">
        <v>12</v>
      </c>
      <c r="E45" s="34"/>
      <c r="F45" s="164">
        <v>1.72</v>
      </c>
      <c r="G45" s="125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54570.096000000005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60" t="s">
        <v>179</v>
      </c>
      <c r="B46" s="161">
        <f>F46*G46*'Абонентский отдел'!$F$1</f>
        <v>126589.93200000002</v>
      </c>
      <c r="C46" s="161" t="s">
        <v>67</v>
      </c>
      <c r="D46" s="163">
        <v>12</v>
      </c>
      <c r="F46" s="164">
        <v>3.99</v>
      </c>
      <c r="G46" s="125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126589.93200000002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3"/>
      <c r="C47" s="124"/>
      <c r="D47" s="46"/>
      <c r="E47" s="123"/>
      <c r="F47" s="123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5"/>
      <c r="F52" s="125"/>
      <c r="G52" s="125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5"/>
      <c r="F53" s="123"/>
      <c r="G53" s="125"/>
      <c r="H53" s="125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5"/>
      <c r="F54" s="125"/>
      <c r="G54" s="125"/>
      <c r="H54" s="125"/>
    </row>
    <row r="55" spans="5:16">
      <c r="E55" s="125"/>
      <c r="F55" s="125"/>
      <c r="G55" s="125"/>
      <c r="H55" s="125"/>
    </row>
    <row r="56" spans="5:16">
      <c r="E56" s="125"/>
      <c r="F56" s="125"/>
      <c r="G56" s="125"/>
      <c r="H56" s="125"/>
    </row>
    <row r="57" spans="5:16">
      <c r="E57" s="125"/>
      <c r="F57" s="125"/>
      <c r="G57" s="125"/>
      <c r="H57" s="125"/>
    </row>
    <row r="58" spans="5:16">
      <c r="E58" s="125"/>
      <c r="F58" s="125"/>
      <c r="G58" s="125"/>
      <c r="H58" s="125"/>
    </row>
    <row r="59" spans="5:16">
      <c r="E59" s="125"/>
      <c r="F59" s="123"/>
      <c r="G59" s="125"/>
      <c r="H59" s="125"/>
    </row>
    <row r="60" spans="5:16">
      <c r="E60" s="125"/>
      <c r="F60" s="125"/>
      <c r="G60" s="125"/>
      <c r="H60" s="125"/>
    </row>
    <row r="61" spans="5:16">
      <c r="E61" s="125"/>
      <c r="F61" s="125"/>
      <c r="G61" s="125"/>
      <c r="H61" s="125"/>
    </row>
    <row r="62" spans="5:16">
      <c r="E62" s="125"/>
      <c r="F62" s="125"/>
      <c r="G62" s="125"/>
      <c r="H62" s="125"/>
    </row>
    <row r="63" spans="5:16">
      <c r="E63" s="125"/>
      <c r="F63" s="123"/>
      <c r="G63" s="125"/>
      <c r="H63" s="125"/>
    </row>
    <row r="64" spans="5:16">
      <c r="E64" s="125"/>
      <c r="F64" s="125"/>
      <c r="G64" s="125"/>
      <c r="H64" s="125"/>
    </row>
    <row r="65" spans="4:13" ht="18.75" customHeight="1">
      <c r="E65" s="125"/>
      <c r="F65" s="125"/>
      <c r="G65" s="125"/>
      <c r="H65" s="125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DyoZnvn8GWTmHwRlARLdwTkTN4wmSsAH5sR/4x4z26hKzm8hnXiTch2OiQbbp12lQ4BMrSLVWRS2BDSMx2n6nw==" saltValue="bgEUxrm5FspPdyNEau5Wq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8" sqref="D18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183</v>
      </c>
      <c r="F1" s="58">
        <v>2643.9</v>
      </c>
    </row>
    <row r="2" spans="1:10" ht="15.75" customHeight="1">
      <c r="A2" s="68" t="s">
        <v>83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84</v>
      </c>
      <c r="B3" s="70" t="s">
        <v>3</v>
      </c>
      <c r="C3" s="77">
        <v>0</v>
      </c>
      <c r="D3" s="78" t="s">
        <v>58</v>
      </c>
      <c r="E3" s="59">
        <v>-19012.8</v>
      </c>
      <c r="F3" s="59" t="s">
        <v>206</v>
      </c>
      <c r="G3" s="59"/>
      <c r="H3" s="59"/>
      <c r="I3" s="59"/>
      <c r="J3" s="59"/>
    </row>
    <row r="4" spans="1:10" ht="15.75" customHeight="1">
      <c r="A4" s="68" t="s">
        <v>85</v>
      </c>
      <c r="B4" s="70" t="s">
        <v>4</v>
      </c>
      <c r="C4" s="81">
        <v>485103.01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86</v>
      </c>
      <c r="B5" s="70" t="s">
        <v>5</v>
      </c>
      <c r="C5" s="77">
        <f>SUM(C6:C8)</f>
        <v>497574.12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87</v>
      </c>
      <c r="B6" s="70" t="s">
        <v>6</v>
      </c>
      <c r="C6" s="81">
        <v>389679.72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88</v>
      </c>
      <c r="B7" s="70" t="s">
        <v>7</v>
      </c>
      <c r="C7" s="81">
        <f>(F1*4*12)+E3</f>
        <v>107894.40000000001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89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90</v>
      </c>
      <c r="B9" s="70" t="s">
        <v>9</v>
      </c>
      <c r="C9" s="77">
        <f>SUM(C10:C14)</f>
        <v>664935.1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91</v>
      </c>
      <c r="B10" s="70" t="s">
        <v>10</v>
      </c>
      <c r="C10" s="81">
        <v>664935.1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92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93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94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95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96</v>
      </c>
      <c r="B15" s="70" t="s">
        <v>15</v>
      </c>
      <c r="C15" s="77">
        <f>C9</f>
        <v>664935.1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97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98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99</v>
      </c>
      <c r="B18" s="70" t="s">
        <v>18</v>
      </c>
      <c r="C18" s="77">
        <f>IF(C16&gt;0,0,IF(C4&gt;0,C4+C5-C9,C5-C2-C9))</f>
        <v>317742.03000000003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162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100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98"/>
      <c r="N20" s="60"/>
    </row>
    <row r="21" spans="1:15" ht="15.75" customHeight="1">
      <c r="A21" s="68" t="s">
        <v>101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98"/>
      <c r="N21" s="60"/>
    </row>
    <row r="22" spans="1:15" ht="15.75" customHeight="1">
      <c r="A22" s="68" t="s">
        <v>102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98"/>
      <c r="N22" s="60"/>
    </row>
    <row r="23" spans="1:15" ht="15.75" customHeight="1">
      <c r="A23" s="68" t="s">
        <v>103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98"/>
      <c r="N23" s="60"/>
    </row>
    <row r="24" spans="1:15" ht="18.75">
      <c r="A24" s="71" t="s">
        <v>163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104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7"/>
      <c r="N25" s="61"/>
    </row>
    <row r="26" spans="1:15" ht="18.75" customHeight="1">
      <c r="A26" s="68" t="s">
        <v>105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7"/>
      <c r="N26" s="61"/>
    </row>
    <row r="27" spans="1:15" ht="18.75" customHeight="1">
      <c r="A27" s="68" t="s">
        <v>106</v>
      </c>
      <c r="B27" s="73" t="s">
        <v>4</v>
      </c>
      <c r="C27" s="84">
        <v>376776.36</v>
      </c>
      <c r="D27" s="79" t="s">
        <v>59</v>
      </c>
      <c r="E27" s="62"/>
      <c r="F27" s="62"/>
      <c r="G27" s="62"/>
      <c r="H27" s="62"/>
      <c r="I27" s="62"/>
      <c r="J27" s="62"/>
      <c r="M27" s="197"/>
      <c r="N27" s="61"/>
    </row>
    <row r="28" spans="1:15" ht="18.75" customHeight="1">
      <c r="A28" s="68" t="s">
        <v>107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7"/>
      <c r="N28" s="61"/>
    </row>
    <row r="29" spans="1:15" ht="18.75" customHeight="1">
      <c r="A29" s="68" t="s">
        <v>108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7"/>
      <c r="N29" s="61"/>
    </row>
    <row r="30" spans="1:15" ht="18.75" customHeight="1">
      <c r="A30" s="68" t="s">
        <v>109</v>
      </c>
      <c r="B30" s="73" t="s">
        <v>18</v>
      </c>
      <c r="C30" s="84">
        <f>C27+E37+E45+E53+E61-C39-C47-C55-C63</f>
        <v>294282.59000000003</v>
      </c>
      <c r="D30" s="79" t="s">
        <v>65</v>
      </c>
      <c r="E30" s="62"/>
      <c r="F30" s="62"/>
      <c r="G30" s="62"/>
      <c r="H30" s="62"/>
      <c r="I30" s="62"/>
      <c r="J30" s="62"/>
      <c r="M30" s="197"/>
      <c r="N30" s="61"/>
    </row>
    <row r="31" spans="1:15" ht="18.75" customHeight="1">
      <c r="A31" s="68" t="s">
        <v>110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7"/>
      <c r="N31" s="61"/>
    </row>
    <row r="32" spans="1:15" ht="18.75" customHeight="1">
      <c r="A32" s="68" t="s">
        <v>111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7"/>
      <c r="N32" s="61"/>
    </row>
    <row r="33" spans="1:15" ht="18.75" customHeight="1">
      <c r="A33" s="68" t="s">
        <v>112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7"/>
      <c r="N33" s="61"/>
    </row>
    <row r="34" spans="1:15" ht="18.75" customHeight="1">
      <c r="A34" s="68" t="s">
        <v>113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7"/>
      <c r="N34" s="61"/>
    </row>
    <row r="35" spans="1:15" ht="18.75">
      <c r="A35" s="71" t="s">
        <v>164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165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121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156471.12</v>
      </c>
      <c r="F37" s="92" t="s">
        <v>168</v>
      </c>
      <c r="G37" s="64"/>
      <c r="H37" s="64"/>
      <c r="I37" s="64"/>
      <c r="L37" s="61"/>
      <c r="M37" s="196"/>
      <c r="N37" s="61"/>
      <c r="O37" s="61"/>
    </row>
    <row r="38" spans="1:15" ht="18.75" customHeight="1">
      <c r="A38" s="68" t="s">
        <v>114</v>
      </c>
      <c r="B38" s="76" t="s">
        <v>36</v>
      </c>
      <c r="C38" s="88">
        <v>104314.08</v>
      </c>
      <c r="D38" s="92" t="s">
        <v>166</v>
      </c>
      <c r="E38" s="66"/>
      <c r="G38" s="65"/>
      <c r="H38" s="65"/>
      <c r="L38" s="61"/>
      <c r="M38" s="196"/>
      <c r="N38" s="61"/>
      <c r="O38" s="61"/>
    </row>
    <row r="39" spans="1:15" ht="18.75" customHeight="1">
      <c r="A39" s="68" t="s">
        <v>115</v>
      </c>
      <c r="B39" s="76" t="s">
        <v>37</v>
      </c>
      <c r="C39" s="89">
        <v>188722</v>
      </c>
      <c r="D39" s="92" t="s">
        <v>167</v>
      </c>
      <c r="E39" s="66"/>
      <c r="G39" s="65"/>
      <c r="H39" s="65"/>
      <c r="L39" s="61"/>
      <c r="M39" s="196"/>
      <c r="N39" s="61"/>
      <c r="O39" s="61"/>
    </row>
    <row r="40" spans="1:15" ht="18.75" customHeight="1">
      <c r="A40" s="68" t="s">
        <v>116</v>
      </c>
      <c r="B40" s="76" t="s">
        <v>38</v>
      </c>
      <c r="C40" s="91">
        <f>IF(E37-C39&lt;0,0,E37-C39)</f>
        <v>0</v>
      </c>
      <c r="D40" s="78" t="s">
        <v>58</v>
      </c>
      <c r="E40" s="126"/>
      <c r="G40" s="65"/>
      <c r="H40" s="65"/>
      <c r="L40" s="61"/>
      <c r="M40" s="196"/>
      <c r="N40" s="61"/>
      <c r="O40" s="61"/>
    </row>
    <row r="41" spans="1:15" ht="18.75" customHeight="1">
      <c r="A41" s="68" t="s">
        <v>117</v>
      </c>
      <c r="B41" s="76" t="s">
        <v>39</v>
      </c>
      <c r="C41" s="91">
        <f>E37</f>
        <v>156471.12</v>
      </c>
      <c r="D41" s="78" t="s">
        <v>58</v>
      </c>
      <c r="E41" s="126"/>
      <c r="G41" s="65"/>
      <c r="H41" s="65"/>
      <c r="L41" s="61"/>
      <c r="M41" s="196"/>
      <c r="N41" s="61"/>
      <c r="O41" s="61"/>
    </row>
    <row r="42" spans="1:15" ht="18.75" customHeight="1">
      <c r="A42" s="68" t="s">
        <v>118</v>
      </c>
      <c r="B42" s="76" t="s">
        <v>40</v>
      </c>
      <c r="C42" s="91">
        <f>E37</f>
        <v>156471.12</v>
      </c>
      <c r="D42" s="78" t="s">
        <v>58</v>
      </c>
      <c r="E42" s="126"/>
      <c r="G42" s="65"/>
      <c r="H42" s="65"/>
      <c r="L42" s="61"/>
      <c r="M42" s="196"/>
      <c r="N42" s="61"/>
      <c r="O42" s="61"/>
    </row>
    <row r="43" spans="1:15" ht="18.75" customHeight="1">
      <c r="A43" s="68" t="s">
        <v>119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6"/>
      <c r="N43" s="61"/>
      <c r="O43" s="61"/>
    </row>
    <row r="44" spans="1:15" ht="30" customHeight="1">
      <c r="A44" s="68" t="s">
        <v>120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6"/>
      <c r="N44" s="61"/>
      <c r="O44" s="61"/>
    </row>
    <row r="45" spans="1:15" ht="18.75">
      <c r="A45" s="71" t="s">
        <v>122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95915.15</v>
      </c>
      <c r="F45" s="92" t="s">
        <v>168</v>
      </c>
      <c r="G45" s="64"/>
      <c r="H45" s="64"/>
      <c r="L45" s="61"/>
      <c r="M45" s="196"/>
      <c r="N45" s="61"/>
      <c r="O45" s="61"/>
    </row>
    <row r="46" spans="1:15" ht="18.75" customHeight="1">
      <c r="A46" s="71" t="s">
        <v>123</v>
      </c>
      <c r="B46" s="76" t="s">
        <v>36</v>
      </c>
      <c r="C46" s="88">
        <v>6013.49</v>
      </c>
      <c r="D46" s="92" t="s">
        <v>169</v>
      </c>
      <c r="E46" s="66"/>
      <c r="G46" s="65"/>
      <c r="H46" s="65"/>
      <c r="L46" s="61"/>
      <c r="M46" s="196"/>
      <c r="N46" s="61"/>
      <c r="O46" s="61"/>
    </row>
    <row r="47" spans="1:15" ht="18.75" customHeight="1">
      <c r="A47" s="71" t="s">
        <v>124</v>
      </c>
      <c r="B47" s="76" t="s">
        <v>37</v>
      </c>
      <c r="C47" s="89">
        <v>111749.45</v>
      </c>
      <c r="D47" s="92" t="s">
        <v>167</v>
      </c>
      <c r="E47" s="66"/>
      <c r="G47" s="65"/>
      <c r="H47" s="65"/>
      <c r="L47" s="61"/>
      <c r="M47" s="196"/>
      <c r="N47" s="61"/>
      <c r="O47" s="61"/>
    </row>
    <row r="48" spans="1:15" ht="18.75" customHeight="1">
      <c r="A48" s="71" t="s">
        <v>125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6"/>
      <c r="N48" s="61"/>
      <c r="O48" s="61"/>
    </row>
    <row r="49" spans="1:15" ht="18.75" customHeight="1">
      <c r="A49" s="71" t="s">
        <v>126</v>
      </c>
      <c r="B49" s="76" t="s">
        <v>39</v>
      </c>
      <c r="C49" s="91">
        <f>E45</f>
        <v>95915.15</v>
      </c>
      <c r="D49" s="78" t="s">
        <v>58</v>
      </c>
      <c r="E49" s="66"/>
      <c r="G49" s="65"/>
      <c r="H49" s="65"/>
      <c r="L49" s="61"/>
      <c r="M49" s="196"/>
      <c r="N49" s="61"/>
      <c r="O49" s="61"/>
    </row>
    <row r="50" spans="1:15" ht="18.75" customHeight="1">
      <c r="A50" s="71" t="s">
        <v>127</v>
      </c>
      <c r="B50" s="76" t="s">
        <v>40</v>
      </c>
      <c r="C50" s="91">
        <f>E45</f>
        <v>95915.15</v>
      </c>
      <c r="D50" s="78" t="s">
        <v>58</v>
      </c>
      <c r="E50" s="66"/>
      <c r="G50" s="65"/>
      <c r="H50" s="65"/>
      <c r="L50" s="61"/>
      <c r="M50" s="196"/>
      <c r="N50" s="61"/>
      <c r="O50" s="61"/>
    </row>
    <row r="51" spans="1:15" ht="18.75" customHeight="1">
      <c r="A51" s="71" t="s">
        <v>128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6"/>
      <c r="N51" s="61"/>
      <c r="O51" s="61"/>
    </row>
    <row r="52" spans="1:15" ht="29.25" customHeight="1">
      <c r="A52" s="71" t="s">
        <v>129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6"/>
      <c r="N52" s="61"/>
      <c r="O52" s="61"/>
    </row>
    <row r="53" spans="1:15" ht="18.75">
      <c r="A53" s="71" t="s">
        <v>130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100192.46</v>
      </c>
      <c r="F53" s="92" t="s">
        <v>168</v>
      </c>
      <c r="G53" s="64"/>
      <c r="H53" s="64"/>
      <c r="L53" s="61"/>
      <c r="M53" s="196"/>
      <c r="N53" s="61"/>
      <c r="O53" s="61"/>
    </row>
    <row r="54" spans="1:15" ht="18.75" customHeight="1">
      <c r="A54" s="71" t="s">
        <v>131</v>
      </c>
      <c r="B54" s="73" t="s">
        <v>36</v>
      </c>
      <c r="C54" s="96">
        <v>5167.22</v>
      </c>
      <c r="D54" s="92" t="s">
        <v>169</v>
      </c>
      <c r="E54" s="67"/>
      <c r="F54" s="87"/>
      <c r="G54" s="62"/>
      <c r="H54" s="62"/>
      <c r="L54" s="61"/>
      <c r="M54" s="196"/>
      <c r="N54" s="61"/>
      <c r="O54" s="61"/>
    </row>
    <row r="55" spans="1:15" ht="18.75" customHeight="1">
      <c r="A55" s="71" t="s">
        <v>132</v>
      </c>
      <c r="B55" s="73" t="s">
        <v>37</v>
      </c>
      <c r="C55" s="84">
        <v>104951.63</v>
      </c>
      <c r="D55" s="92" t="s">
        <v>167</v>
      </c>
      <c r="E55" s="67"/>
      <c r="G55" s="62"/>
      <c r="H55" s="62"/>
      <c r="L55" s="61"/>
      <c r="M55" s="196"/>
      <c r="N55" s="61"/>
      <c r="O55" s="61"/>
    </row>
    <row r="56" spans="1:15" ht="18.75" customHeight="1">
      <c r="A56" s="71" t="s">
        <v>133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6"/>
      <c r="N56" s="61"/>
      <c r="O56" s="61"/>
    </row>
    <row r="57" spans="1:15" ht="18.75" customHeight="1">
      <c r="A57" s="71" t="s">
        <v>134</v>
      </c>
      <c r="B57" s="73" t="s">
        <v>39</v>
      </c>
      <c r="C57" s="91">
        <f>E53</f>
        <v>100192.46</v>
      </c>
      <c r="D57" s="78" t="s">
        <v>58</v>
      </c>
      <c r="E57" s="67"/>
      <c r="G57" s="62"/>
      <c r="H57" s="62"/>
      <c r="L57" s="61"/>
      <c r="M57" s="196"/>
      <c r="N57" s="61"/>
      <c r="O57" s="61"/>
    </row>
    <row r="58" spans="1:15" ht="18.75" customHeight="1">
      <c r="A58" s="71" t="s">
        <v>135</v>
      </c>
      <c r="B58" s="73" t="s">
        <v>40</v>
      </c>
      <c r="C58" s="91">
        <f>E53</f>
        <v>100192.46</v>
      </c>
      <c r="D58" s="78" t="s">
        <v>58</v>
      </c>
      <c r="E58" s="67"/>
      <c r="G58" s="62"/>
      <c r="H58" s="62"/>
      <c r="L58" s="61"/>
      <c r="M58" s="196"/>
      <c r="N58" s="61"/>
      <c r="O58" s="61"/>
    </row>
    <row r="59" spans="1:15" ht="18.75" customHeight="1">
      <c r="A59" s="71" t="s">
        <v>136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6"/>
      <c r="N59" s="61"/>
      <c r="O59" s="61"/>
    </row>
    <row r="60" spans="1:15" ht="33.75" customHeight="1">
      <c r="A60" s="71" t="s">
        <v>137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6"/>
      <c r="N60" s="61"/>
      <c r="O60" s="61"/>
    </row>
    <row r="61" spans="1:15" ht="15.75">
      <c r="A61" s="71" t="s">
        <v>138</v>
      </c>
      <c r="B61" s="75" t="s">
        <v>79</v>
      </c>
      <c r="C61" s="94" t="str">
        <f>IF(E61&gt;0,"Предоставляется",0)</f>
        <v>Предоставляется</v>
      </c>
      <c r="D61" s="94" t="s">
        <v>54</v>
      </c>
      <c r="E61" s="93">
        <v>104941.9</v>
      </c>
      <c r="F61" s="92" t="s">
        <v>168</v>
      </c>
      <c r="G61" s="64"/>
      <c r="H61" s="64"/>
    </row>
    <row r="62" spans="1:15" ht="15.75" customHeight="1">
      <c r="A62" s="71" t="s">
        <v>139</v>
      </c>
      <c r="B62" s="73" t="s">
        <v>36</v>
      </c>
      <c r="C62" s="96">
        <v>177.31</v>
      </c>
      <c r="D62" s="92" t="s">
        <v>169</v>
      </c>
      <c r="E62" s="67"/>
      <c r="G62" s="62"/>
      <c r="H62" s="62"/>
    </row>
    <row r="63" spans="1:15" ht="15.75" customHeight="1">
      <c r="A63" s="71" t="s">
        <v>140</v>
      </c>
      <c r="B63" s="73" t="s">
        <v>37</v>
      </c>
      <c r="C63" s="84">
        <v>134591.32</v>
      </c>
      <c r="D63" s="92" t="s">
        <v>167</v>
      </c>
      <c r="E63" s="67"/>
      <c r="G63" s="62"/>
      <c r="H63" s="62"/>
    </row>
    <row r="64" spans="1:15" ht="15.75" customHeight="1">
      <c r="A64" s="71" t="s">
        <v>141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142</v>
      </c>
      <c r="B65" s="73" t="s">
        <v>39</v>
      </c>
      <c r="C65" s="91">
        <f>E61</f>
        <v>104941.9</v>
      </c>
      <c r="D65" s="78" t="s">
        <v>58</v>
      </c>
      <c r="E65" s="67"/>
      <c r="G65" s="62"/>
      <c r="H65" s="62"/>
    </row>
    <row r="66" spans="1:8" ht="15.75" customHeight="1">
      <c r="A66" s="71" t="s">
        <v>143</v>
      </c>
      <c r="B66" s="73" t="s">
        <v>40</v>
      </c>
      <c r="C66" s="91">
        <f>E61</f>
        <v>104941.9</v>
      </c>
      <c r="D66" s="78" t="s">
        <v>58</v>
      </c>
      <c r="E66" s="67"/>
      <c r="G66" s="62"/>
      <c r="H66" s="62"/>
    </row>
    <row r="67" spans="1:8" ht="15.75" customHeight="1">
      <c r="A67" s="71" t="s">
        <v>144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145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146</v>
      </c>
      <c r="B69" s="75" t="s">
        <v>80</v>
      </c>
      <c r="C69" s="94">
        <f>IF(E69&gt;0,"Предоставляется",0)</f>
        <v>0</v>
      </c>
      <c r="D69" s="94" t="s">
        <v>54</v>
      </c>
      <c r="E69" s="93"/>
      <c r="F69" s="92" t="s">
        <v>168</v>
      </c>
      <c r="G69" s="64"/>
      <c r="H69" s="64"/>
    </row>
    <row r="70" spans="1:8" ht="15.75" customHeight="1">
      <c r="A70" s="71" t="s">
        <v>147</v>
      </c>
      <c r="B70" s="73" t="s">
        <v>36</v>
      </c>
      <c r="C70" s="96"/>
      <c r="D70" s="92" t="s">
        <v>169</v>
      </c>
      <c r="E70" s="67"/>
      <c r="G70" s="62"/>
      <c r="H70" s="62"/>
    </row>
    <row r="71" spans="1:8" ht="15.75" customHeight="1">
      <c r="A71" s="71" t="s">
        <v>148</v>
      </c>
      <c r="B71" s="73" t="s">
        <v>37</v>
      </c>
      <c r="C71" s="84"/>
      <c r="D71" s="92" t="s">
        <v>167</v>
      </c>
      <c r="E71" s="67"/>
      <c r="G71" s="62"/>
      <c r="H71" s="62"/>
    </row>
    <row r="72" spans="1:8" ht="15.75" customHeight="1">
      <c r="A72" s="71" t="s">
        <v>149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150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151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152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153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154</v>
      </c>
      <c r="B77" s="75" t="s">
        <v>81</v>
      </c>
      <c r="C77" s="94">
        <f>IF(E77&gt;0,"Предоставляется",0)</f>
        <v>0</v>
      </c>
      <c r="D77" s="94" t="s">
        <v>82</v>
      </c>
      <c r="E77" s="93"/>
      <c r="F77" s="92" t="s">
        <v>168</v>
      </c>
      <c r="G77" s="64"/>
      <c r="H77" s="64"/>
    </row>
    <row r="78" spans="1:8" ht="15.75" customHeight="1">
      <c r="A78" s="71" t="s">
        <v>155</v>
      </c>
      <c r="B78" s="73" t="s">
        <v>36</v>
      </c>
      <c r="C78" s="96">
        <v>0</v>
      </c>
      <c r="D78" s="92" t="s">
        <v>170</v>
      </c>
      <c r="E78" s="62"/>
      <c r="G78" s="62"/>
      <c r="H78" s="62"/>
    </row>
    <row r="79" spans="1:8" ht="15.75" customHeight="1">
      <c r="A79" s="71" t="s">
        <v>156</v>
      </c>
      <c r="B79" s="73" t="s">
        <v>37</v>
      </c>
      <c r="C79" s="84">
        <v>0</v>
      </c>
      <c r="D79" s="92" t="s">
        <v>167</v>
      </c>
      <c r="E79" s="62"/>
      <c r="G79" s="62"/>
      <c r="H79" s="62"/>
    </row>
    <row r="80" spans="1:8" ht="15.75" customHeight="1">
      <c r="A80" s="71" t="s">
        <v>157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158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159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160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161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4" sqref="G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171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172</v>
      </c>
      <c r="B3" s="57" t="s">
        <v>45</v>
      </c>
      <c r="C3" s="103">
        <v>1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173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2025-03-24T05:11:56Z</dcterms:modified>
</cp:coreProperties>
</file>