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30" i="3" l="1"/>
  <c r="B46" i="2" l="1"/>
  <c r="B45" i="2"/>
  <c r="B44" i="2"/>
  <c r="B42" i="2"/>
  <c r="B41" i="2"/>
  <c r="B40" i="2"/>
  <c r="B39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19" i="1" l="1"/>
  <c r="A122" i="1"/>
  <c r="A118" i="1"/>
  <c r="A123" i="1"/>
  <c r="A141" i="1"/>
  <c r="A112" i="1"/>
  <c r="F102" i="1"/>
  <c r="A116" i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<sst xmlns="http://schemas.openxmlformats.org/spreadsheetml/2006/main" count="558" uniqueCount="207">
  <si>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</si>
  <si>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</si>
  <si>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</si>
  <si>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</si>
  <si>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</si>
  <si>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</si>
  <si>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</si>
  <si>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</si>
  <si>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</si>
  <si>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</si>
  <si>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</si>
  <si>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</si>
  <si>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</si>
  <si>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</si>
  <si>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</si>
  <si>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</si>
  <si>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</si>
  <si>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</si>
  <si>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</si>
  <si>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</si>
  <si>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</si>
  <si>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</si>
  <si>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</si>
  <si>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</si>
  <si>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</si>
  <si>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</si>
  <si>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</si>
  <si>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</si>
  <si>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</si>
  <si>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</si>
  <si>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</si>
  <si>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</si>
  <si>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</si>
  <si>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</si>
  <si>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</si>
  <si>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</si>
  <si>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</si>
  <si>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</si>
  <si>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</si>
  <si>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</si>
  <si>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</si>
  <si>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</si>
  <si>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</si>
  <si>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</si>
  <si>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</si>
  <si>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</si>
  <si>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</si>
  <si>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</si>
  <si>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</si>
  <si>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</si>
  <si>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</si>
  <si>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</si>
  <si>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</si>
  <si>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</si>
  <si>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</si>
  <si>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</si>
  <si>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</si>
  <si>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</si>
  <si>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</si>
  <si>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</si>
  <si>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</si>
  <si>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</si>
  <si>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</si>
  <si>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</si>
  <si>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</si>
  <si>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</si>
  <si>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</si>
  <si>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</si>
  <si>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</si>
  <si>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</si>
  <si>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</si>
  <si>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</si>
  <si>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</si>
  <si>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</si>
  <si>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</si>
  <si>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</si>
  <si>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</si>
  <si>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</si>
  <si>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</si>
  <si>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</si>
  <si>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</si>
  <si>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</si>
  <si>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</si>
  <si>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</si>
  <si>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</si>
  <si>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</si>
  <si>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</si>
  <si>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</si>
  <si>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</si>
  <si>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</si>
  <si>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</si>
  <si>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</si>
  <si>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</si>
  <si>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</si>
  <si>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</si>
  <si>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</si>
  <si>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</si>
  <si>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</si>
  <si>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</si>
  <si>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</si>
  <si>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</si>
  <si>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</si>
  <si>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</si>
  <si>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</si>
  <si>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</si>
  <si>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</si>
  <si>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</si>
  <si>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</si>
  <si>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</si>
  <si>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</si>
  <si>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</si>
  <si>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</si>
  <si>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</si>
  <si>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</si>
  <si>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</si>
  <si>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</si>
  <si>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</si>
  <si>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</si>
  <si>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</si>
  <si>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</si>
  <si>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</si>
  <si>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</si>
  <si>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</si>
  <si>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</si>
  <si>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</si>
  <si>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</si>
  <si>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</si>
  <si>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</si>
  <si>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</si>
  <si>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</si>
  <si>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</si>
  <si>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</si>
  <si>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</si>
  <si>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</si>
  <si>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</si>
  <si>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</si>
  <si>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</si>
  <si>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</si>
  <si>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</si>
  <si>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</si>
  <si>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</si>
  <si>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</si>
  <si>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</si>
  <si>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</si>
  <si>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</si>
  <si>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</si>
  <si>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</si>
  <si>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</si>
  <si>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</si>
  <si>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</si>
  <si>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</si>
  <si>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</si>
  <si>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</si>
  <si>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</si>
  <si>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</si>
  <si>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</si>
  <si>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</si>
  <si>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</si>
  <si>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</si>
  <si>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</si>
  <si>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</si>
  <si>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</si>
  <si>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</si>
  <si>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</si>
  <si>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</si>
  <si>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</si>
  <si>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</si>
  <si>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</si>
  <si>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</si>
  <si>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</si>
  <si>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</si>
  <si>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</si>
  <si>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</si>
  <si>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</si>
  <si>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</si>
  <si>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</si>
  <si>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</si>
  <si>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</si>
  <si>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</si>
  <si>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</si>
  <si>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</si>
  <si>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</si>
  <si>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</si>
  <si>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</si>
  <si>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</si>
  <si>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</si>
  <si>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Механизированная уборка и вывоз снега с придомовой территории.</t>
  </si>
  <si>
    <t xml:space="preserve">  -  замена дефлектора 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</si>
  <si>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</si>
  <si>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</si>
  <si>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</si>
  <si>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</si>
  <si>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</si>
  <si>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замена редуктора давления системы отопления.</t>
  </si>
  <si>
    <t>Благоустройство придомовой территории (приобретение рассады).</t>
  </si>
  <si>
    <t>АВР 3/24 от 01.06.2024, Решение</t>
  </si>
  <si>
    <t>Пуско-наладочные работы на приборе учета тепловой энергии.</t>
  </si>
  <si>
    <t>АВР 1/24 от 01.02.2024, Решение, счет №726 от 02.02.2024</t>
  </si>
  <si>
    <t>Приобретение и замена предохранительного клапана Ду15.</t>
  </si>
  <si>
    <t>АВР 2/24 от 01.06.2024, Решение</t>
  </si>
  <si>
    <t>АВР 4/24 от 01.06.2024, Решение</t>
  </si>
  <si>
    <t>Приобретение и замена комбинированной муфты Ду20/15, шарового крана Ду20, трубы Ду20 (1 м.)</t>
  </si>
  <si>
    <t>АВР 5/24 от 04.09.2024, счет №665 от 10.07.2024</t>
  </si>
  <si>
    <t>АВР 6/24 от 27.12.2024</t>
  </si>
  <si>
    <t>АВР 7/24 от 30.03.2024, счет №35 от 02.03.2024</t>
  </si>
  <si>
    <t>АВР 8/24 от 27.12.2024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</si>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</sst>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97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2" fontId="24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3" fillId="3" borderId="0" xfId="1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24" fillId="3" borderId="0" xfId="0" applyFont="1" applyFill="1" applyBorder="1"/>
    <xf numFmtId="4" fontId="24" fillId="0" borderId="0" xfId="0" applyNumberFormat="1" applyFont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16" fillId="0" borderId="0" xfId="9" applyNumberFormat="1" applyFill="1" applyBorder="1" applyAlignment="1">
      <alignment horizontal="center"/>
    </xf>
    <xf numFmtId="4" fontId="16" fillId="0" borderId="0" xfId="9" applyNumberFormat="1" applyFill="1" applyBorder="1" applyAlignment="1"/>
    <xf numFmtId="4" fontId="0" fillId="0" borderId="0" xfId="0" applyNumberFormat="1" applyFill="1"/>
    <xf numFmtId="0" fontId="8" fillId="0" borderId="0" xfId="4" applyFont="1" applyFill="1" applyBorder="1" applyAlignment="1"/>
    <xf numFmtId="0" fontId="10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9" applyFont="1" applyFill="1" applyBorder="1" applyAlignment="1">
      <alignment horizontal="center"/>
    </xf>
    <xf numFmtId="0" fontId="0" fillId="0" borderId="0" xfId="0" applyFill="1" applyBorder="1"/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31" fillId="0" borderId="1" xfId="5" applyFont="1" applyFill="1" applyBorder="1" applyAlignment="1"/>
    <xf numFmtId="0" fontId="17" fillId="0" borderId="1" xfId="5" applyFill="1" applyBorder="1" applyAlignment="1">
      <alignment horizontal="center"/>
    </xf>
    <xf numFmtId="4" fontId="17" fillId="0" borderId="1" xfId="5" applyNumberFormat="1" applyFill="1" applyBorder="1" applyAlignment="1"/>
    <xf numFmtId="0" fontId="0" fillId="0" borderId="1" xfId="0" applyFill="1" applyBorder="1"/>
    <xf numFmtId="0" fontId="14" fillId="0" borderId="1" xfId="13" applyFont="1" applyFill="1" applyBorder="1" applyAlignment="1"/>
    <xf numFmtId="0" fontId="31" fillId="0" borderId="1" xfId="13" applyFont="1" applyFill="1" applyBorder="1" applyAlignment="1">
      <alignment horizontal="center"/>
    </xf>
    <xf numFmtId="4" fontId="31" fillId="0" borderId="1" xfId="13" applyNumberFormat="1" applyFont="1" applyFill="1" applyBorder="1" applyAlignment="1"/>
    <xf numFmtId="0" fontId="1" fillId="0" borderId="1" xfId="5" applyFont="1" applyFill="1" applyBorder="1"/>
    <xf numFmtId="0" fontId="7" fillId="0" borderId="1" xfId="9" applyFont="1" applyFill="1" applyBorder="1" applyAlignment="1"/>
    <xf numFmtId="0" fontId="7" fillId="0" borderId="1" xfId="9" applyFont="1" applyFill="1" applyBorder="1" applyAlignment="1">
      <alignment horizontal="center"/>
    </xf>
    <xf numFmtId="0" fontId="16" fillId="0" borderId="1" xfId="9" applyNumberFormat="1" applyFill="1" applyBorder="1" applyAlignment="1">
      <alignment horizontal="center"/>
    </xf>
    <xf numFmtId="4" fontId="16" fillId="0" borderId="1" xfId="9" applyNumberFormat="1" applyFill="1" applyBorder="1" applyAlignment="1"/>
    <xf numFmtId="4" fontId="0" fillId="0" borderId="1" xfId="0" applyNumberFormat="1" applyFill="1" applyBorder="1"/>
    <xf numFmtId="0" fontId="3" fillId="0" borderId="1" xfId="5" applyFont="1" applyFill="1" applyBorder="1" applyAlignment="1">
      <alignment wrapText="1"/>
    </xf>
    <xf numFmtId="0" fontId="3" fillId="0" borderId="1" xfId="5" applyFont="1" applyFill="1" applyBorder="1" applyAlignment="1">
      <alignment horizontal="center"/>
    </xf>
    <xf numFmtId="1" fontId="17" fillId="0" borderId="1" xfId="5" applyNumberFormat="1" applyFill="1" applyBorder="1" applyAlignment="1">
      <alignment horizontal="center"/>
    </xf>
    <xf numFmtId="4" fontId="31" fillId="0" borderId="1" xfId="5" applyNumberFormat="1" applyFont="1" applyFill="1" applyBorder="1" applyAlignment="1"/>
    <xf numFmtId="0" fontId="5" fillId="0" borderId="1" xfId="5" applyFont="1" applyFill="1" applyBorder="1" applyAlignment="1">
      <alignment wrapText="1"/>
    </xf>
    <xf numFmtId="0" fontId="5" fillId="0" borderId="1" xfId="5" applyFont="1" applyFill="1" applyBorder="1" applyAlignment="1">
      <alignment horizontal="center"/>
    </xf>
    <xf numFmtId="0" fontId="2" fillId="0" borderId="1" xfId="5" applyFont="1" applyFill="1" applyBorder="1" applyAlignment="1">
      <alignment wrapText="1"/>
    </xf>
    <xf numFmtId="0" fontId="4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0" fontId="12" fillId="0" borderId="1" xfId="9" applyFont="1" applyFill="1" applyBorder="1" applyAlignment="1"/>
    <xf numFmtId="0" fontId="12" fillId="0" borderId="1" xfId="9" applyFont="1" applyFill="1" applyBorder="1" applyAlignment="1">
      <alignment horizontal="center"/>
    </xf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49">
    <cellStyle name="Обычный" xfId="0" builtinId="0"/>
    <cellStyle name="Обычный 2" xfId="1"/>
    <cellStyle name="Обычный 2 2" xfId="3"/>
    <cellStyle name="Обычный 2 3" xfId="6"/>
    <cellStyle name="Обычный 2 3 2" xfId="41"/>
    <cellStyle name="Обычный 2 3 3" xfId="26"/>
    <cellStyle name="Обычный 2 4" xfId="10"/>
    <cellStyle name="Обычный 2 4 2" xfId="45"/>
    <cellStyle name="Обычный 2 5" xfId="14"/>
    <cellStyle name="Обычный 2 5 2" xfId="37"/>
    <cellStyle name="Обычный 2 5 3" xfId="19"/>
    <cellStyle name="Обычный 2 6" xfId="30"/>
    <cellStyle name="Обычный 2 7" xfId="21"/>
    <cellStyle name="Обычный 2 8" xfId="15"/>
    <cellStyle name="Обычный 3" xfId="2"/>
    <cellStyle name="Обычный 3 2" xfId="7"/>
    <cellStyle name="Обычный 3 2 2" xfId="42"/>
    <cellStyle name="Обычный 3 2 3" xfId="35"/>
    <cellStyle name="Обычный 3 2 4" xfId="27"/>
    <cellStyle name="Обычный 3 3" xfId="11"/>
    <cellStyle name="Обычный 3 3 2" xfId="46"/>
    <cellStyle name="Обычный 3 4" xfId="38"/>
    <cellStyle name="Обычный 3 5" xfId="31"/>
    <cellStyle name="Обычный 3 6" xfId="22"/>
    <cellStyle name="Обычный 3 7" xfId="16"/>
    <cellStyle name="Обычный 4" xfId="4"/>
    <cellStyle name="Обычный 4 2" xfId="8"/>
    <cellStyle name="Обычный 4 2 2" xfId="43"/>
    <cellStyle name="Обычный 4 2 3" xfId="36"/>
    <cellStyle name="Обычный 4 2 4" xfId="28"/>
    <cellStyle name="Обычный 4 3" xfId="12"/>
    <cellStyle name="Обычный 4 3 2" xfId="47"/>
    <cellStyle name="Обычный 4 4" xfId="39"/>
    <cellStyle name="Обычный 4 5" xfId="32"/>
    <cellStyle name="Обычный 4 6" xfId="23"/>
    <cellStyle name="Обычный 4 7" xfId="17"/>
    <cellStyle name="Обычный 5" xfId="5"/>
    <cellStyle name="Обычный 5 2" xfId="9"/>
    <cellStyle name="Обычный 5 2 2" xfId="44"/>
    <cellStyle name="Обычный 5 2 3" xfId="29"/>
    <cellStyle name="Обычный 5 2 4" xfId="20"/>
    <cellStyle name="Обычный 5 3" xfId="13"/>
    <cellStyle name="Обычный 5 3 2" xfId="48"/>
    <cellStyle name="Обычный 5 3 3" xfId="25"/>
    <cellStyle name="Обычный 5 4" xfId="40"/>
    <cellStyle name="Обычный 5 5" xfId="33"/>
    <cellStyle name="Обычный 5 6" xfId="24"/>
    <cellStyle name="Обычный 5 7" xfId="18"/>
    <cellStyle name="Обычный 6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7" t="s">
        <v>177</v>
      </c>
      <c r="B2" s="187"/>
      <c r="C2" s="187"/>
      <c r="D2" s="187"/>
      <c r="E2" s="187"/>
      <c r="F2" s="187"/>
      <c r="G2" s="187"/>
      <c r="H2" s="187"/>
      <c r="I2" s="187"/>
      <c r="J2" s="187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7"/>
      <c r="L8" s="188"/>
      <c r="M8" s="107"/>
      <c r="N8" s="107"/>
      <c r="O8" s="68" t="s">
        <v>82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7"/>
      <c r="L9" s="188"/>
      <c r="M9" s="107"/>
      <c r="N9" s="107"/>
      <c r="O9" s="68" t="s">
        <v>83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164163.16</v>
      </c>
      <c r="K10" s="107"/>
      <c r="L10" s="188"/>
      <c r="M10" s="107"/>
      <c r="N10" s="107"/>
      <c r="O10" s="68" t="s">
        <v>84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580092.6</v>
      </c>
      <c r="K11" s="107"/>
      <c r="L11" s="188"/>
      <c r="M11" s="107"/>
      <c r="N11" s="107"/>
      <c r="O11" s="68" t="s">
        <v>85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444088.2</v>
      </c>
      <c r="K12" s="107"/>
      <c r="L12" s="188"/>
      <c r="M12" s="107"/>
      <c r="N12" s="107"/>
      <c r="O12" s="68" t="s">
        <v>86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136004.4</v>
      </c>
      <c r="K13" s="107"/>
      <c r="L13" s="188"/>
      <c r="M13" s="107"/>
      <c r="N13" s="107"/>
      <c r="O13" s="68" t="s">
        <v>87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0</v>
      </c>
      <c r="K14" s="107"/>
      <c r="L14" s="188"/>
      <c r="M14" s="107"/>
      <c r="N14" s="107"/>
      <c r="O14" s="68" t="s">
        <v>88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588310.68000000005</v>
      </c>
      <c r="K15" s="107"/>
      <c r="L15" s="188"/>
      <c r="M15" s="107"/>
      <c r="N15" s="107"/>
      <c r="O15" s="68" t="s">
        <v>89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588310.68000000005</v>
      </c>
      <c r="K16" s="107"/>
      <c r="L16" s="188"/>
      <c r="M16" s="107"/>
      <c r="N16" s="107"/>
      <c r="O16" s="68" t="s">
        <v>90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7"/>
      <c r="L17" s="188"/>
      <c r="M17" s="107"/>
      <c r="N17" s="107"/>
      <c r="O17" s="68" t="s">
        <v>91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7"/>
      <c r="L18" s="188"/>
      <c r="M18" s="107"/>
      <c r="N18" s="107"/>
      <c r="O18" s="68" t="s">
        <v>92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7"/>
      <c r="L19" s="188"/>
      <c r="M19" s="107"/>
      <c r="N19" s="107"/>
      <c r="O19" s="68" t="s">
        <v>93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7"/>
      <c r="L20" s="188"/>
      <c r="M20" s="107"/>
      <c r="N20" s="107"/>
      <c r="O20" s="68" t="s">
        <v>94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588310.68000000005</v>
      </c>
      <c r="K21" s="107"/>
      <c r="L21" s="188"/>
      <c r="M21" s="107"/>
      <c r="N21" s="107"/>
      <c r="O21" s="68" t="s">
        <v>95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7"/>
      <c r="L22" s="188"/>
      <c r="M22" s="107"/>
      <c r="N22" s="107"/>
      <c r="O22" s="68" t="s">
        <v>96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7"/>
      <c r="L23" s="188"/>
      <c r="M23" s="107"/>
      <c r="N23" s="107"/>
      <c r="O23" s="68" t="s">
        <v>97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155945.07999999996</v>
      </c>
      <c r="K24" s="107"/>
      <c r="L24" s="188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56</v>
      </c>
      <c r="I27" s="171" t="s">
        <v>21</v>
      </c>
      <c r="J27" s="171"/>
      <c r="K27" s="107"/>
      <c r="L27" s="189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66">
        <f>VLOOKUP(A28,ПТО!$A$39:$D$53,2,FALSE)</f>
        <v>129657.52800000001</v>
      </c>
      <c r="G28" s="166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7"/>
      <c r="L28" s="189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66">
        <f>VLOOKUP(A29,ПТО!$A$39:$D$53,2,FALSE)</f>
        <v>54099.527999999998</v>
      </c>
      <c r="G29" s="166"/>
      <c r="H29" s="40" t="str">
        <f>VLOOKUP(A29,ПТО!$A$39:$D$53,3,FALSE)</f>
        <v>Ежемесячно</v>
      </c>
      <c r="I29" s="167">
        <f>VLOOKUP(A29,ПТО!$A$39:$D$53,4,FALSE)</f>
        <v>12</v>
      </c>
      <c r="J29" s="167"/>
      <c r="K29" s="107"/>
      <c r="L29" s="189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5" t="str">
        <f>ПТО!A41</f>
        <v xml:space="preserve">Работы по содержанию земельного участка </v>
      </c>
      <c r="B30" s="165"/>
      <c r="C30" s="165"/>
      <c r="D30" s="165"/>
      <c r="E30" s="165"/>
      <c r="F30" s="166">
        <f>VLOOKUP(A30,ПТО!$A$39:$D$53,2,FALSE)</f>
        <v>42916.943999999996</v>
      </c>
      <c r="G30" s="166"/>
      <c r="H30" s="40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7"/>
      <c r="L30" s="189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66">
        <f>VLOOKUP(A31,ПТО!$A$39:$D$53,2,FALSE)</f>
        <v>36267.839999999997</v>
      </c>
      <c r="G31" s="166"/>
      <c r="H31" s="40" t="str">
        <f>VLOOKUP(A31,ПТО!$A$39:$D$53,3,FALSE)</f>
        <v>Ежемесячно</v>
      </c>
      <c r="I31" s="167">
        <f>VLOOKUP(A31,ПТО!$A$39:$D$53,4,FALSE)</f>
        <v>12</v>
      </c>
      <c r="J31" s="167"/>
      <c r="K31" s="107"/>
      <c r="L31" s="189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66" t="e">
        <f>VLOOKUP(A32,ПТО!$A$39:$D$53,2,FALSE)</f>
        <v>#N/A</v>
      </c>
      <c r="G32" s="166"/>
      <c r="H32" s="40" t="e">
        <f>VLOOKUP(A32,ПТО!$A$39:$D$53,3,FALSE)</f>
        <v>#N/A</v>
      </c>
      <c r="I32" s="167" t="e">
        <f>VLOOKUP(A32,ПТО!$A$39:$D$53,4,FALSE)</f>
        <v>#N/A</v>
      </c>
      <c r="J32" s="167"/>
      <c r="K32" s="107"/>
      <c r="L32" s="189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66">
        <f>VLOOKUP(A33,ПТО!$A$39:$D$53,2,FALSE)</f>
        <v>11787.047999999999</v>
      </c>
      <c r="G33" s="166"/>
      <c r="H33" s="40" t="str">
        <f>VLOOKUP(A33,ПТО!$A$39:$D$53,3,FALSE)</f>
        <v>Круглосуточно</v>
      </c>
      <c r="I33" s="167">
        <f>VLOOKUP(A33,ПТО!$A$39:$D$53,4,FALSE)</f>
        <v>12</v>
      </c>
      <c r="J33" s="167"/>
      <c r="K33" s="107"/>
      <c r="L33" s="189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66">
        <f>VLOOKUP(A34,ПТО!$A$39:$D$53,2,FALSE)</f>
        <v>54401.760000000002</v>
      </c>
      <c r="G34" s="166"/>
      <c r="H34" s="40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7"/>
      <c r="L34" s="189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5"/>
      <c r="C35" s="165"/>
      <c r="D35" s="165"/>
      <c r="E35" s="165"/>
      <c r="F35" s="166">
        <f>VLOOKUP(A35,ПТО!$A$39:$D$53,2,FALSE)</f>
        <v>120590.568</v>
      </c>
      <c r="G35" s="166"/>
      <c r="H35" s="40" t="str">
        <f>VLOOKUP(A35,ПТО!$A$39:$D$53,3,FALSE)</f>
        <v>Ежемесячно</v>
      </c>
      <c r="I35" s="167">
        <f>VLOOKUP(A35,ПТО!$A$39:$D$53,4,FALSE)</f>
        <v>12</v>
      </c>
      <c r="J35" s="167"/>
      <c r="K35" s="107"/>
      <c r="L35" s="189"/>
      <c r="M35" s="113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66" t="e">
        <f>VLOOKUP(A36,ПТО!$A$39:$D$53,2,FALSE)</f>
        <v>#N/A</v>
      </c>
      <c r="G36" s="166"/>
      <c r="H36" s="40" t="e">
        <f>VLOOKUP(A36,ПТО!$A$39:$D$53,3,FALSE)</f>
        <v>#N/A</v>
      </c>
      <c r="I36" s="167" t="e">
        <f>VLOOKUP(A36,ПТО!$A$39:$D$53,4,FALSE)</f>
        <v>#N/A</v>
      </c>
      <c r="J36" s="167"/>
      <c r="K36" s="107"/>
      <c r="L36" s="189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66" t="e">
        <f>VLOOKUP(A37,ПТО!$A$39:$D$53,2,FALSE)</f>
        <v>#N/A</v>
      </c>
      <c r="G37" s="166"/>
      <c r="H37" s="40" t="e">
        <f>VLOOKUP(A37,ПТО!$A$39:$D$53,3,FALSE)</f>
        <v>#N/A</v>
      </c>
      <c r="I37" s="167" t="e">
        <f>VLOOKUP(A37,ПТО!$A$39:$D$53,4,FALSE)</f>
        <v>#N/A</v>
      </c>
      <c r="J37" s="167"/>
      <c r="K37" s="107"/>
      <c r="L37" s="189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66" t="e">
        <f>VLOOKUP(A38,ПТО!$A$39:$D$53,2,FALSE)</f>
        <v>#N/A</v>
      </c>
      <c r="G38" s="166"/>
      <c r="H38" s="40" t="e">
        <f>VLOOKUP(A38,ПТО!$A$39:$D$53,3,FALSE)</f>
        <v>#N/A</v>
      </c>
      <c r="I38" s="167" t="e">
        <f>VLOOKUP(A38,ПТО!$A$39:$D$53,4,FALSE)</f>
        <v>#N/A</v>
      </c>
      <c r="J38" s="167"/>
      <c r="K38" s="107"/>
      <c r="L38" s="189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66" t="e">
        <f>VLOOKUP(A39,ПТО!$A$39:$D$53,2,FALSE)</f>
        <v>#N/A</v>
      </c>
      <c r="G39" s="166"/>
      <c r="H39" s="40" t="e">
        <f>VLOOKUP(A39,ПТО!$A$39:$D$53,3,FALSE)</f>
        <v>#N/A</v>
      </c>
      <c r="I39" s="167" t="e">
        <f>VLOOKUP(A39,ПТО!$A$39:$D$53,4,FALSE)</f>
        <v>#N/A</v>
      </c>
      <c r="J39" s="167"/>
      <c r="K39" s="107"/>
      <c r="L39" s="189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66" t="e">
        <f>VLOOKUP(A40,ПТО!$A$39:$D$53,2,FALSE)</f>
        <v>#N/A</v>
      </c>
      <c r="G40" s="166"/>
      <c r="H40" s="40" t="e">
        <f>VLOOKUP(A40,ПТО!$A$39:$D$53,3,FALSE)</f>
        <v>#N/A</v>
      </c>
      <c r="I40" s="167" t="e">
        <f>VLOOKUP(A40,ПТО!$A$39:$D$53,4,FALSE)</f>
        <v>#N/A</v>
      </c>
      <c r="J40" s="167"/>
      <c r="K40" s="107"/>
      <c r="L40" s="189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66" t="e">
        <f>VLOOKUP(A41,ПТО!$A$39:$D$53,2,FALSE)</f>
        <v>#N/A</v>
      </c>
      <c r="G41" s="166"/>
      <c r="H41" s="40" t="e">
        <f>VLOOKUP(A41,ПТО!$A$39:$D$53,3,FALSE)</f>
        <v>#N/A</v>
      </c>
      <c r="I41" s="167" t="e">
        <f>VLOOKUP(A41,ПТО!$A$39:$D$53,4,FALSE)</f>
        <v>#N/A</v>
      </c>
      <c r="J41" s="167"/>
      <c r="K41" s="107"/>
      <c r="L41" s="189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66" t="e">
        <f>VLOOKUP(A42,ПТО!$A$39:$D$53,2,FALSE)</f>
        <v>#N/A</v>
      </c>
      <c r="G42" s="166"/>
      <c r="H42" s="40" t="e">
        <f>VLOOKUP(A42,ПТО!$A$39:$D$53,3,FALSE)</f>
        <v>#N/A</v>
      </c>
      <c r="I42" s="167" t="e">
        <f>VLOOKUP(A42,ПТО!$A$39:$D$53,4,FALSE)</f>
        <v>#N/A</v>
      </c>
      <c r="J42" s="167"/>
      <c r="K42" s="107"/>
      <c r="L42" s="189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65" t="str">
        <f>ПТО!A2</f>
        <v>Техническое освидетельствование лифта.</v>
      </c>
      <c r="B43" s="165"/>
      <c r="C43" s="165"/>
      <c r="D43" s="165"/>
      <c r="E43" s="165"/>
      <c r="F43" s="166">
        <f>VLOOKUP(A43,ПТО!$A$2:$D$31,4,FALSE)</f>
        <v>4100</v>
      </c>
      <c r="G43" s="166"/>
      <c r="H43" s="19" t="str">
        <f>VLOOKUP(A43,ПТО!$A$2:$D$31,2,FALSE)</f>
        <v>ежегодно</v>
      </c>
      <c r="I43" s="167">
        <f>VLOOKUP(A43,ПТО!$A$2:$D$31,3,FALSE)</f>
        <v>1</v>
      </c>
      <c r="J43" s="167"/>
      <c r="K43" s="107"/>
      <c r="L43" s="189"/>
      <c r="M43" s="113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5" t="str">
        <f>ПТО!A3</f>
        <v>Техническое обслуживание охранной сигнализации.</v>
      </c>
      <c r="B44" s="165"/>
      <c r="C44" s="165"/>
      <c r="D44" s="165"/>
      <c r="E44" s="165"/>
      <c r="F44" s="166">
        <f>VLOOKUP(A44,ПТО!$A$2:$D$31,4,FALSE)</f>
        <v>4000</v>
      </c>
      <c r="G44" s="166"/>
      <c r="H44" s="25" t="str">
        <f>VLOOKUP(A44,ПТО!$A$2:$D$31,2,FALSE)</f>
        <v>ежемесячно</v>
      </c>
      <c r="I44" s="167">
        <f>VLOOKUP(A44,ПТО!$A$2:$D$31,3,FALSE)</f>
        <v>12</v>
      </c>
      <c r="J44" s="167"/>
      <c r="K44" s="107"/>
      <c r="L44" s="189"/>
      <c r="M44" s="113"/>
      <c r="N44" s="107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5" t="str">
        <f>ПТО!A4</f>
        <v>Приобретение и замена редуктора давления системы отопления.</v>
      </c>
      <c r="B45" s="165"/>
      <c r="C45" s="165"/>
      <c r="D45" s="165"/>
      <c r="E45" s="165"/>
      <c r="F45" s="166">
        <f>VLOOKUP(A45,ПТО!$A$2:$D$31,4,FALSE)</f>
        <v>415</v>
      </c>
      <c r="G45" s="166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7"/>
      <c r="L45" s="189"/>
      <c r="M45" s="113"/>
      <c r="N45" s="107"/>
      <c r="O45" s="23" t="str">
        <f t="shared" si="1"/>
        <v>Приобретение и замена редуктора давления системы отопления.</v>
      </c>
      <c r="R45" s="22" t="s">
        <v>71</v>
      </c>
    </row>
    <row r="46" spans="1:18" ht="51" customHeight="1" outlineLevel="1">
      <c r="A46" s="165" t="str">
        <f>ПТО!A5</f>
        <v>Приобретение и замена предохранительного клапана Ду15.</v>
      </c>
      <c r="B46" s="165"/>
      <c r="C46" s="165"/>
      <c r="D46" s="165"/>
      <c r="E46" s="165"/>
      <c r="F46" s="166">
        <f>VLOOKUP(A46,ПТО!$A$2:$D$31,4,FALSE)</f>
        <v>365</v>
      </c>
      <c r="G46" s="166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7"/>
      <c r="L46" s="189"/>
      <c r="M46" s="113"/>
      <c r="N46" s="107"/>
      <c r="O46" s="23" t="str">
        <f t="shared" si="1"/>
        <v>Приобретение и замена предохранительного клапана Ду15.</v>
      </c>
      <c r="R46" s="22" t="s">
        <v>71</v>
      </c>
    </row>
    <row r="47" spans="1:18" ht="51" customHeight="1" outlineLevel="1">
      <c r="A47" s="165" t="str">
        <f>ПТО!A6</f>
        <v>Благоустройство придомовой территории (приобретение рассады).</v>
      </c>
      <c r="B47" s="165"/>
      <c r="C47" s="165"/>
      <c r="D47" s="165"/>
      <c r="E47" s="165"/>
      <c r="F47" s="166">
        <f>VLOOKUP(A47,ПТО!$A$2:$D$31,4,FALSE)</f>
        <v>15300</v>
      </c>
      <c r="G47" s="166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7"/>
      <c r="L47" s="189"/>
      <c r="M47" s="113"/>
      <c r="N47" s="107"/>
      <c r="O47" s="23" t="str">
        <f t="shared" si="1"/>
        <v>Благоустройство придомовой территории (приобретение рассады).</v>
      </c>
      <c r="R47" s="22" t="s">
        <v>71</v>
      </c>
    </row>
    <row r="48" spans="1:18" ht="51" customHeight="1" outlineLevel="1">
      <c r="A48" s="165" t="str">
        <f>ПТО!A7</f>
        <v>Приобретение и замена комбинированной муфты Ду20/15, шарового крана Ду20, трубы Ду20 (1 м.)</v>
      </c>
      <c r="B48" s="165"/>
      <c r="C48" s="165"/>
      <c r="D48" s="165"/>
      <c r="E48" s="165"/>
      <c r="F48" s="166">
        <f>VLOOKUP(A48,ПТО!$A$2:$D$31,4,FALSE)</f>
        <v>114</v>
      </c>
      <c r="G48" s="166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7"/>
      <c r="L48" s="189"/>
      <c r="M48" s="113"/>
      <c r="N48" s="107"/>
      <c r="O48" s="23" t="str">
        <f t="shared" si="1"/>
        <v>Приобретение и замена комбинированной муфты Ду20/15, шарового крана Ду20, трубы Ду20 (1 м.)</v>
      </c>
      <c r="R48" s="22" t="s">
        <v>71</v>
      </c>
    </row>
    <row r="49" spans="1:18" ht="51" customHeight="1" outlineLevel="1">
      <c r="A49" s="165" t="str">
        <f>ПТО!A8</f>
        <v>Пуско-наладочные работы на приборе учета тепловой энергии.</v>
      </c>
      <c r="B49" s="165"/>
      <c r="C49" s="165"/>
      <c r="D49" s="165"/>
      <c r="E49" s="165"/>
      <c r="F49" s="166">
        <f>VLOOKUP(A49,ПТО!$A$2:$D$31,4,FALSE)</f>
        <v>2537</v>
      </c>
      <c r="G49" s="166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7"/>
      <c r="L49" s="189"/>
      <c r="M49" s="113"/>
      <c r="N49" s="107"/>
      <c r="O49" s="23" t="str">
        <f t="shared" si="1"/>
        <v>Пуско-наладочные работы на приборе учета тепловой энергии.</v>
      </c>
      <c r="R49" s="22" t="s">
        <v>71</v>
      </c>
    </row>
    <row r="50" spans="1:18" ht="51" customHeight="1" outlineLevel="1">
      <c r="A50" s="165" t="str">
        <f>ПТО!A9</f>
        <v>Механизированная уборка и вывоз снега с придомовой территории.</v>
      </c>
      <c r="B50" s="165"/>
      <c r="C50" s="165"/>
      <c r="D50" s="165"/>
      <c r="E50" s="165"/>
      <c r="F50" s="166">
        <f>VLOOKUP(A50,ПТО!$A$2:$D$31,4,FALSE)</f>
        <v>8465</v>
      </c>
      <c r="G50" s="166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7"/>
      <c r="L50" s="189"/>
      <c r="M50" s="113"/>
      <c r="N50" s="107"/>
      <c r="O50" s="23" t="str">
        <f t="shared" si="1"/>
        <v>Механизированная уборка и вывоз снега с придомовой территории.</v>
      </c>
      <c r="R50" s="22" t="s">
        <v>71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66" t="e">
        <f>VLOOKUP(A51,ПТО!$A$2:$D$31,4,FALSE)</f>
        <v>#N/A</v>
      </c>
      <c r="G51" s="166"/>
      <c r="H51" s="25" t="e">
        <f>VLOOKUP(A51,ПТО!$A$2:$D$31,2,FALSE)</f>
        <v>#N/A</v>
      </c>
      <c r="I51" s="167" t="e">
        <f>VLOOKUP(A51,ПТО!$A$2:$D$31,3,FALSE)</f>
        <v>#N/A</v>
      </c>
      <c r="J51" s="167"/>
      <c r="K51" s="107"/>
      <c r="L51" s="189"/>
      <c r="M51" s="113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66" t="e">
        <f>VLOOKUP(A52,ПТО!$A$2:$D$31,4,FALSE)</f>
        <v>#N/A</v>
      </c>
      <c r="G52" s="166"/>
      <c r="H52" s="25" t="e">
        <f>VLOOKUP(A52,ПТО!$A$2:$D$31,2,FALSE)</f>
        <v>#N/A</v>
      </c>
      <c r="I52" s="167" t="e">
        <f>VLOOKUP(A52,ПТО!$A$2:$D$31,3,FALSE)</f>
        <v>#N/A</v>
      </c>
      <c r="J52" s="167"/>
      <c r="K52" s="107"/>
      <c r="L52" s="189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66" t="e">
        <f>VLOOKUP(A53,ПТО!$A$2:$D$31,4,FALSE)</f>
        <v>#N/A</v>
      </c>
      <c r="G53" s="166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7"/>
      <c r="L53" s="189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66" t="e">
        <f>VLOOKUP(A54,ПТО!$A$2:$D$31,4,FALSE)</f>
        <v>#N/A</v>
      </c>
      <c r="G54" s="166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7"/>
      <c r="L54" s="189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7"/>
      <c r="L55" s="189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7"/>
      <c r="L56" s="189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7"/>
      <c r="L57" s="189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7"/>
      <c r="L58" s="189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7"/>
      <c r="L59" s="189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7"/>
      <c r="L60" s="189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7"/>
      <c r="L61" s="189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7"/>
      <c r="L62" s="189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7"/>
      <c r="L63" s="189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7"/>
      <c r="L64" s="189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7"/>
      <c r="L65" s="189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7"/>
      <c r="L66" s="189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7"/>
      <c r="L67" s="189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7"/>
      <c r="L68" s="189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7"/>
      <c r="L69" s="189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7"/>
      <c r="L70" s="189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3"/>
      <c r="L71" s="189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7"/>
      <c r="L72" s="189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83" t="s">
        <v>26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7"/>
      <c r="L75" s="172"/>
      <c r="M75" s="107"/>
      <c r="N75" s="107"/>
      <c r="O75" s="68" t="s">
        <v>99</v>
      </c>
    </row>
    <row r="76" spans="1:16384" ht="18.75" customHeight="1" outlineLevel="1">
      <c r="A76" s="183" t="s">
        <v>27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7"/>
      <c r="L76" s="172"/>
      <c r="M76" s="107"/>
      <c r="N76" s="107"/>
      <c r="O76" s="68" t="s">
        <v>100</v>
      </c>
    </row>
    <row r="77" spans="1:16384" ht="21.75" customHeight="1" outlineLevel="1">
      <c r="A77" s="183" t="s">
        <v>28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7"/>
      <c r="L77" s="172"/>
      <c r="M77" s="107"/>
      <c r="N77" s="107"/>
      <c r="O77" s="68" t="s">
        <v>101</v>
      </c>
    </row>
    <row r="78" spans="1:16384" ht="18.75" customHeight="1" outlineLevel="1">
      <c r="A78" s="183" t="s">
        <v>29</v>
      </c>
      <c r="B78" s="183"/>
      <c r="C78" s="183"/>
      <c r="D78" s="183"/>
      <c r="E78" s="183"/>
      <c r="F78" s="183"/>
      <c r="G78" s="183"/>
      <c r="H78" s="183"/>
      <c r="I78" s="183"/>
      <c r="J78" s="95">
        <f>VLOOKUP(O78,АО,3,FALSE)</f>
        <v>0</v>
      </c>
      <c r="K78" s="107"/>
      <c r="L78" s="172"/>
      <c r="M78" s="107"/>
      <c r="N78" s="107"/>
      <c r="O78" s="68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5">
        <f t="shared" ref="J81:J90" si="2">VLOOKUP(O81,АО,3,FALSE)</f>
        <v>0</v>
      </c>
      <c r="K81" s="107"/>
      <c r="L81" s="190"/>
      <c r="M81" s="107"/>
      <c r="N81" s="107"/>
      <c r="O81" s="68" t="s">
        <v>103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5">
        <f t="shared" si="2"/>
        <v>0</v>
      </c>
      <c r="K82" s="107"/>
      <c r="L82" s="190"/>
      <c r="M82" s="107"/>
      <c r="N82" s="107"/>
      <c r="O82" s="68" t="s">
        <v>104</v>
      </c>
    </row>
    <row r="83" spans="1:15" outlineLevel="1">
      <c r="A83" s="180" t="s">
        <v>4</v>
      </c>
      <c r="B83" s="181"/>
      <c r="C83" s="181"/>
      <c r="D83" s="181"/>
      <c r="E83" s="181"/>
      <c r="F83" s="181"/>
      <c r="G83" s="181"/>
      <c r="H83" s="181"/>
      <c r="I83" s="182"/>
      <c r="J83" s="95">
        <f t="shared" si="2"/>
        <v>13323.44</v>
      </c>
      <c r="K83" s="107"/>
      <c r="L83" s="190"/>
      <c r="M83" s="107"/>
      <c r="N83" s="107"/>
      <c r="O83" s="68" t="s">
        <v>105</v>
      </c>
    </row>
    <row r="84" spans="1:15" outlineLevel="1">
      <c r="A84" s="180" t="s">
        <v>16</v>
      </c>
      <c r="B84" s="181"/>
      <c r="C84" s="181"/>
      <c r="D84" s="181"/>
      <c r="E84" s="181"/>
      <c r="F84" s="181"/>
      <c r="G84" s="181"/>
      <c r="H84" s="181"/>
      <c r="I84" s="182"/>
      <c r="J84" s="95">
        <f t="shared" si="2"/>
        <v>0</v>
      </c>
      <c r="K84" s="107"/>
      <c r="L84" s="190"/>
      <c r="M84" s="107"/>
      <c r="N84" s="107"/>
      <c r="O84" s="68" t="s">
        <v>106</v>
      </c>
    </row>
    <row r="85" spans="1:15" outlineLevel="1">
      <c r="A85" s="180" t="s">
        <v>17</v>
      </c>
      <c r="B85" s="181"/>
      <c r="C85" s="181"/>
      <c r="D85" s="181"/>
      <c r="E85" s="181"/>
      <c r="F85" s="181"/>
      <c r="G85" s="181"/>
      <c r="H85" s="181"/>
      <c r="I85" s="182"/>
      <c r="J85" s="95">
        <f t="shared" si="2"/>
        <v>0</v>
      </c>
      <c r="K85" s="107"/>
      <c r="L85" s="190"/>
      <c r="M85" s="107"/>
      <c r="N85" s="107"/>
      <c r="O85" s="68" t="s">
        <v>107</v>
      </c>
    </row>
    <row r="86" spans="1:15" outlineLevel="1">
      <c r="A86" s="180" t="s">
        <v>18</v>
      </c>
      <c r="B86" s="181"/>
      <c r="C86" s="181"/>
      <c r="D86" s="181"/>
      <c r="E86" s="181"/>
      <c r="F86" s="181"/>
      <c r="G86" s="181"/>
      <c r="H86" s="181"/>
      <c r="I86" s="182"/>
      <c r="J86" s="95">
        <f t="shared" si="2"/>
        <v>18976.75</v>
      </c>
      <c r="K86" s="107"/>
      <c r="L86" s="190"/>
      <c r="M86" s="107"/>
      <c r="N86" s="107"/>
      <c r="O86" s="68" t="s">
        <v>108</v>
      </c>
    </row>
    <row r="87" spans="1:15" ht="18.75" customHeight="1" outlineLevel="1">
      <c r="A87" s="180" t="s">
        <v>26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7"/>
      <c r="L87" s="190"/>
      <c r="M87" s="107"/>
      <c r="N87" s="107"/>
      <c r="O87" s="68" t="s">
        <v>109</v>
      </c>
    </row>
    <row r="88" spans="1:15" ht="18.75" customHeight="1" outlineLevel="1">
      <c r="A88" s="180" t="s">
        <v>27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7"/>
      <c r="L88" s="190"/>
      <c r="M88" s="107"/>
      <c r="N88" s="107"/>
      <c r="O88" s="68" t="s">
        <v>110</v>
      </c>
    </row>
    <row r="89" spans="1:15" ht="18.75" customHeight="1" outlineLevel="1">
      <c r="A89" s="180" t="s">
        <v>28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7"/>
      <c r="L89" s="190"/>
      <c r="M89" s="107"/>
      <c r="N89" s="107"/>
      <c r="O89" s="68" t="s">
        <v>111</v>
      </c>
    </row>
    <row r="90" spans="1:15" ht="18.75" customHeight="1" outlineLevel="1">
      <c r="A90" s="180" t="s">
        <v>29</v>
      </c>
      <c r="B90" s="181"/>
      <c r="C90" s="181"/>
      <c r="D90" s="181"/>
      <c r="E90" s="181"/>
      <c r="F90" s="181"/>
      <c r="G90" s="181"/>
      <c r="H90" s="181"/>
      <c r="I90" s="182"/>
      <c r="J90" s="95">
        <f t="shared" si="2"/>
        <v>0</v>
      </c>
      <c r="K90" s="107"/>
      <c r="L90" s="190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74" t="s">
        <v>47</v>
      </c>
      <c r="B93" s="174"/>
      <c r="C93" s="174"/>
      <c r="D93" s="177" t="s">
        <v>48</v>
      </c>
      <c r="E93" s="177"/>
      <c r="F93" s="10" t="s">
        <v>49</v>
      </c>
      <c r="G93" s="174" t="s">
        <v>50</v>
      </c>
      <c r="H93" s="174"/>
      <c r="I93" s="174"/>
      <c r="J93" s="174"/>
      <c r="K93" s="107"/>
      <c r="L93" s="107"/>
      <c r="M93" s="107"/>
      <c r="N93" s="107"/>
    </row>
    <row r="94" spans="1:15" outlineLevel="1">
      <c r="A94" s="178" t="str">
        <f>IF(VLOOKUP("эл",АО,3,FALSE)&gt;0,"Электроснабжение",0)</f>
        <v>Электроснабжение</v>
      </c>
      <c r="B94" s="178"/>
      <c r="C94" s="178"/>
      <c r="D94" s="176" t="str">
        <f>IF(VLOOKUP("эл",АО,3,FALSE)&gt;0,VLOOKUP("эл",АО,3,FALSE),0)</f>
        <v>Предоставляется</v>
      </c>
      <c r="E94" s="176"/>
      <c r="F94" s="13" t="str">
        <f>IF(VLOOKUP("эл",АО,3,FALSE)&gt;0,VLOOKUP("эл",АО,4,FALSE),0)</f>
        <v>кВт*ч</v>
      </c>
      <c r="G94" s="175">
        <f>VLOOKUP("эл",АО,5,FALSE)</f>
        <v>195866.73</v>
      </c>
      <c r="H94" s="176"/>
      <c r="I94" s="176"/>
      <c r="J94" s="176"/>
      <c r="K94" s="1" t="str">
        <f>VLOOKUP("эл",АО,2,FALSE)</f>
        <v>Электроснабжение</v>
      </c>
      <c r="L94" s="191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130577.82</v>
      </c>
      <c r="L95" s="191"/>
      <c r="O95" s="1" t="s">
        <v>113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184972.16</v>
      </c>
      <c r="L96" s="191"/>
      <c r="O96" s="1" t="s">
        <v>114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10894.570000000007</v>
      </c>
      <c r="L97" s="191"/>
      <c r="O97" s="1" t="s">
        <v>115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195866.73</v>
      </c>
      <c r="L98" s="191"/>
      <c r="O98" s="1" t="s">
        <v>116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195866.73</v>
      </c>
      <c r="L99" s="191"/>
      <c r="O99" s="1" t="s">
        <v>117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91"/>
      <c r="O100" s="1" t="s">
        <v>118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91"/>
      <c r="O101" s="1" t="s">
        <v>119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5">
        <f>VLOOKUP("хвс",АО,5,FALSE)</f>
        <v>80352.83</v>
      </c>
      <c r="H102" s="176"/>
      <c r="I102" s="176"/>
      <c r="J102" s="176"/>
      <c r="L102" s="191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5037.79</v>
      </c>
      <c r="L103" s="191"/>
      <c r="O103" s="1" t="s">
        <v>122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81919.11</v>
      </c>
      <c r="L104" s="191"/>
      <c r="O104" s="1" t="s">
        <v>123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91"/>
      <c r="O105" s="1" t="s">
        <v>124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80352.83</v>
      </c>
      <c r="L106" s="191"/>
      <c r="O106" s="1" t="s">
        <v>125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80352.83</v>
      </c>
      <c r="L107" s="191"/>
      <c r="O107" s="1" t="s">
        <v>126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91"/>
      <c r="O108" s="1" t="s">
        <v>127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91"/>
      <c r="O109" s="1" t="s">
        <v>128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5">
        <f>VLOOKUP("воо",АО,5,FALSE)</f>
        <v>88486.76</v>
      </c>
      <c r="H110" s="176"/>
      <c r="I110" s="176"/>
      <c r="J110" s="176"/>
      <c r="L110" s="191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4563.53</v>
      </c>
      <c r="L111" s="191"/>
      <c r="O111" s="1" t="s">
        <v>130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92161.74</v>
      </c>
      <c r="L112" s="191"/>
      <c r="O112" s="1" t="s">
        <v>131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0</v>
      </c>
      <c r="L113" s="191"/>
      <c r="O113" s="1" t="s">
        <v>132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88486.76</v>
      </c>
      <c r="L114" s="191"/>
      <c r="O114" s="1" t="s">
        <v>133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88486.76</v>
      </c>
      <c r="L115" s="191"/>
      <c r="O115" s="1" t="s">
        <v>134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91"/>
      <c r="O116" s="1" t="s">
        <v>135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91"/>
      <c r="O117" s="1" t="s">
        <v>136</v>
      </c>
    </row>
    <row r="118" spans="1:15" ht="32.25" hidden="1" customHeight="1" outlineLevel="1">
      <c r="A118" s="178">
        <f>IF(VLOOKUP("тко",АО,3,FALSE)&gt;0,"Обращение с ТКО",0)</f>
        <v>0</v>
      </c>
      <c r="B118" s="178"/>
      <c r="C118" s="178"/>
      <c r="D118" s="176">
        <f>IF(VLOOKUP("тко",АО,3,FALSE)&gt;0,VLOOKUP("тко",АО,3,FALSE),0)</f>
        <v>0</v>
      </c>
      <c r="E118" s="176"/>
      <c r="F118" s="13">
        <f>IF(VLOOKUP("тко",АО,3,FALSE)&gt;0,VLOOKUP("тко",АО,4,FALSE),0)</f>
        <v>0</v>
      </c>
      <c r="G118" s="175">
        <f>VLOOKUP("тко",АО,5,FALSE)</f>
        <v>0</v>
      </c>
      <c r="H118" s="176"/>
      <c r="I118" s="176"/>
      <c r="J118" s="176"/>
      <c r="L118" s="45"/>
    </row>
    <row r="119" spans="1:15" ht="32.25" hidden="1" customHeight="1" outlineLevel="2">
      <c r="A119" s="173">
        <f t="shared" ref="A119:A125" si="8">IF(VLOOKUP("тко",АО,3,FALSE)&gt;0,VLOOKUP(O119,АО,2,FALSE),0)</f>
        <v>0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0</v>
      </c>
      <c r="L119" s="45"/>
      <c r="O119" s="1" t="s">
        <v>138</v>
      </c>
    </row>
    <row r="120" spans="1:15" ht="32.25" hidden="1" customHeight="1" outlineLevel="2">
      <c r="A120" s="173">
        <f t="shared" si="8"/>
        <v>0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0</v>
      </c>
      <c r="L120" s="45"/>
      <c r="O120" s="1" t="s">
        <v>139</v>
      </c>
    </row>
    <row r="121" spans="1:15" ht="32.25" hidden="1" customHeight="1" outlineLevel="2">
      <c r="A121" s="173">
        <f t="shared" si="8"/>
        <v>0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0</v>
      </c>
      <c r="L121" s="45"/>
      <c r="O121" s="1" t="s">
        <v>140</v>
      </c>
    </row>
    <row r="122" spans="1:15" ht="32.25" hidden="1" customHeight="1" outlineLevel="2">
      <c r="A122" s="173">
        <f t="shared" si="8"/>
        <v>0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0</v>
      </c>
      <c r="L122" s="45"/>
      <c r="O122" s="1" t="s">
        <v>141</v>
      </c>
    </row>
    <row r="123" spans="1:15" ht="32.25" hidden="1" customHeight="1" outlineLevel="2">
      <c r="A123" s="173">
        <f t="shared" si="8"/>
        <v>0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0</v>
      </c>
      <c r="L123" s="45"/>
      <c r="O123" s="1" t="s">
        <v>142</v>
      </c>
    </row>
    <row r="124" spans="1:15" ht="32.25" hidden="1" customHeight="1" outlineLevel="2">
      <c r="A124" s="173">
        <f t="shared" si="8"/>
        <v>0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5"/>
      <c r="O124" s="1" t="s">
        <v>143</v>
      </c>
    </row>
    <row r="125" spans="1:15" ht="32.25" hidden="1" customHeight="1" outlineLevel="2">
      <c r="A125" s="173">
        <f t="shared" si="8"/>
        <v>0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6">
        <f>IF(VLOOKUP("гвс",АО,3,FALSE)&gt;0,VLOOKUP("гвс",АО,3,FALSE),0)</f>
        <v>0</v>
      </c>
      <c r="E126" s="176"/>
      <c r="F126" s="13">
        <f>IF(VLOOKUP("гвс",АО,3,FALSE)&gt;0,VLOOKUP("гвс",АО,4,FALSE),0)</f>
        <v>0</v>
      </c>
      <c r="G126" s="175">
        <f>VLOOKUP("гвс",АО,5,FALSE)</f>
        <v>0</v>
      </c>
      <c r="H126" s="176"/>
      <c r="I126" s="176"/>
      <c r="J126" s="176"/>
      <c r="L126" s="45"/>
    </row>
    <row r="127" spans="1:15" ht="32.25" hidden="1" customHeight="1" outlineLevel="2">
      <c r="A127" s="173">
        <f t="shared" ref="A127:A133" si="10">IF(VLOOKUP("гвс",АО,3,FALSE)&gt;0,VLOOKUP(O127,АО,2,FALSE),0)</f>
        <v>0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73">
        <f t="shared" si="10"/>
        <v>0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73">
        <f t="shared" si="10"/>
        <v>0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73">
        <f t="shared" si="10"/>
        <v>0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73">
        <f t="shared" si="10"/>
        <v>0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73">
        <f t="shared" si="10"/>
        <v>0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73">
        <f t="shared" si="10"/>
        <v>0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6">
        <f>IF(VLOOKUP("отопление",АО,3,FALSE)&gt;0,VLOOKUP("отопление",АО,3,FALSE),0)</f>
        <v>0</v>
      </c>
      <c r="E134" s="176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6"/>
      <c r="I134" s="176"/>
      <c r="J134" s="176"/>
      <c r="L134" s="45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73" t="s">
        <v>44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170</v>
      </c>
    </row>
    <row r="145" spans="1:15" ht="18.75" customHeight="1" outlineLevel="1">
      <c r="A145" s="173" t="s">
        <v>45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73" t="s">
        <v>173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0</v>
      </c>
      <c r="O146" t="s">
        <v>172</v>
      </c>
    </row>
    <row r="149" spans="1:15" ht="52.5" customHeight="1">
      <c r="A149" s="169" t="s">
        <v>178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68" t="s">
        <v>188</v>
      </c>
      <c r="B154" s="168"/>
      <c r="C154" s="168"/>
      <c r="D154" s="168"/>
      <c r="E154" s="27">
        <f>ПТО!G1</f>
        <v>-122192.12</v>
      </c>
    </row>
    <row r="155" spans="1:15" ht="34.5" customHeight="1">
      <c r="A155" s="170" t="s">
        <v>189</v>
      </c>
      <c r="B155" s="170"/>
      <c r="C155" s="170"/>
      <c r="D155" s="170"/>
      <c r="E155" s="28">
        <f>J13</f>
        <v>136004.4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56</v>
      </c>
      <c r="I157" s="171" t="s">
        <v>21</v>
      </c>
      <c r="J157" s="171"/>
    </row>
    <row r="158" spans="1:15" ht="29.25" customHeight="1">
      <c r="A158" s="165" t="str">
        <f t="shared" ref="A158:A163" si="14">IF(N158&gt;0,N158,0)</f>
        <v>Техническое освидетельствование лифта.</v>
      </c>
      <c r="B158" s="165"/>
      <c r="C158" s="165"/>
      <c r="D158" s="165"/>
      <c r="E158" s="165"/>
      <c r="F158" s="166">
        <f t="shared" ref="F158:F163" si="15">IF(ISERROR(VLOOKUP(A158,$A$28:$J$72,6,FALSE)),0,VLOOKUP(A158,$A$28:$J$72,6,FALSE))</f>
        <v>4100</v>
      </c>
      <c r="G158" s="166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1</v>
      </c>
      <c r="J158" s="16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5" t="str">
        <f t="shared" si="14"/>
        <v>Техническое обслуживание охранной сигнализации.</v>
      </c>
      <c r="B159" s="165"/>
      <c r="C159" s="165"/>
      <c r="D159" s="165"/>
      <c r="E159" s="165"/>
      <c r="F159" s="166">
        <f t="shared" si="15"/>
        <v>4000</v>
      </c>
      <c r="G159" s="166"/>
      <c r="H159" s="24" t="str">
        <f t="shared" si="16"/>
        <v>ежемесячно</v>
      </c>
      <c r="I159" s="167">
        <f t="shared" si="17"/>
        <v>12</v>
      </c>
      <c r="J159" s="167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5" t="str">
        <f t="shared" si="14"/>
        <v>Приобретение и замена редуктора давления системы отопления.</v>
      </c>
      <c r="B160" s="165"/>
      <c r="C160" s="165"/>
      <c r="D160" s="165"/>
      <c r="E160" s="165"/>
      <c r="F160" s="166">
        <f t="shared" si="15"/>
        <v>415</v>
      </c>
      <c r="G160" s="166"/>
      <c r="H160" s="24" t="str">
        <f t="shared" si="16"/>
        <v>разово</v>
      </c>
      <c r="I160" s="167">
        <f t="shared" si="17"/>
        <v>1</v>
      </c>
      <c r="J160" s="167"/>
      <c r="M160" s="22" t="s">
        <v>71</v>
      </c>
      <c r="N160" s="1" t="str">
        <v>Приобретение и замена редуктора давления системы отопления.</v>
      </c>
    </row>
    <row r="161" spans="1:14" ht="28.5" customHeight="1">
      <c r="A161" s="165" t="str">
        <f>IF(N161&gt;0,N161,0)</f>
        <v>Приобретение и замена предохранительного клапана Ду15.</v>
      </c>
      <c r="B161" s="165"/>
      <c r="C161" s="165"/>
      <c r="D161" s="165"/>
      <c r="E161" s="165"/>
      <c r="F161" s="166">
        <f t="shared" si="15"/>
        <v>365</v>
      </c>
      <c r="G161" s="166"/>
      <c r="H161" s="24" t="str">
        <f t="shared" si="16"/>
        <v>разово</v>
      </c>
      <c r="I161" s="167">
        <f t="shared" si="17"/>
        <v>1</v>
      </c>
      <c r="J161" s="167"/>
      <c r="M161" s="22" t="s">
        <v>71</v>
      </c>
      <c r="N161" s="1" t="str">
        <v>Приобретение и замена предохранительного клапана Ду15.</v>
      </c>
    </row>
    <row r="162" spans="1:14" ht="28.5" customHeight="1">
      <c r="A162" s="165" t="str">
        <f t="shared" si="14"/>
        <v>Благоустройство придомовой территории (приобретение рассады).</v>
      </c>
      <c r="B162" s="165"/>
      <c r="C162" s="165"/>
      <c r="D162" s="165"/>
      <c r="E162" s="165"/>
      <c r="F162" s="166">
        <f t="shared" si="15"/>
        <v>15300</v>
      </c>
      <c r="G162" s="166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71</v>
      </c>
      <c r="N162" s="1" t="str">
        <v>Благоустройство придомовой территории (приобретение рассады).</v>
      </c>
    </row>
    <row r="163" spans="1:14" ht="28.5" customHeight="1">
      <c r="A163" s="165" t="str">
        <f t="shared" si="14"/>
        <v>Приобретение и замена комбинированной муфты Ду20/15, шарового крана Ду20, трубы Ду20 (1 м.)</v>
      </c>
      <c r="B163" s="165"/>
      <c r="C163" s="165"/>
      <c r="D163" s="165"/>
      <c r="E163" s="165"/>
      <c r="F163" s="166">
        <f t="shared" si="15"/>
        <v>114</v>
      </c>
      <c r="G163" s="166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71</v>
      </c>
      <c r="N163" s="1" t="str">
        <v>Приобретение и замена комбинированной муфты Ду20/15, шарового крана Ду20, трубы Ду20 (1 м.)</v>
      </c>
    </row>
    <row r="164" spans="1:14" ht="28.5" customHeight="1">
      <c r="A164" s="165" t="str">
        <f t="shared" ref="A164:A187" si="18">IF(N164&gt;0,N164,0)</f>
        <v>Пуско-наладочные работы на приборе учета тепловой энергии.</v>
      </c>
      <c r="B164" s="165"/>
      <c r="C164" s="165"/>
      <c r="D164" s="165"/>
      <c r="E164" s="165"/>
      <c r="F164" s="166">
        <f t="shared" ref="F164:F187" si="19">IF(ISERROR(VLOOKUP(A164,$A$28:$J$72,6,FALSE)),0,VLOOKUP(A164,$A$28:$J$72,6,FALSE))</f>
        <v>2537</v>
      </c>
      <c r="G164" s="166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71</v>
      </c>
      <c r="N164" s="1" t="str">
        <v>Пуско-наладочные работы на приборе учета тепловой энергии.</v>
      </c>
    </row>
    <row r="165" spans="1:14" ht="28.5" customHeight="1">
      <c r="A165" s="165" t="str">
        <f t="shared" si="18"/>
        <v>Механизированная уборка и вывоз снега с придомовой территории.</v>
      </c>
      <c r="B165" s="165"/>
      <c r="C165" s="165"/>
      <c r="D165" s="165"/>
      <c r="E165" s="165"/>
      <c r="F165" s="166">
        <f t="shared" si="19"/>
        <v>8465</v>
      </c>
      <c r="G165" s="166"/>
      <c r="H165" s="29" t="str">
        <f t="shared" si="16"/>
        <v>разово</v>
      </c>
      <c r="I165" s="167">
        <f t="shared" si="20"/>
        <v>1</v>
      </c>
      <c r="J165" s="167"/>
      <c r="M165" s="22" t="s">
        <v>71</v>
      </c>
      <c r="N165" s="1" t="str">
        <v>Механизированная уборка и вывоз снега с придомовой территории.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66">
        <f t="shared" si="19"/>
        <v>0</v>
      </c>
      <c r="G166" s="166"/>
      <c r="H166" s="29" t="e">
        <f t="shared" si="16"/>
        <v>#N/A</v>
      </c>
      <c r="I166" s="167" t="e">
        <f t="shared" si="20"/>
        <v>#N/A</v>
      </c>
      <c r="J166" s="167"/>
      <c r="M166" s="22" t="s">
        <v>71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66">
        <f t="shared" si="19"/>
        <v>0</v>
      </c>
      <c r="G167" s="166"/>
      <c r="H167" s="29" t="e">
        <f t="shared" si="16"/>
        <v>#N/A</v>
      </c>
      <c r="I167" s="167" t="e">
        <f t="shared" si="20"/>
        <v>#N/A</v>
      </c>
      <c r="J167" s="167"/>
      <c r="M167" s="22" t="s">
        <v>71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66">
        <f t="shared" si="19"/>
        <v>0</v>
      </c>
      <c r="G168" s="166"/>
      <c r="H168" s="29" t="e">
        <f t="shared" si="16"/>
        <v>#N/A</v>
      </c>
      <c r="I168" s="167" t="e">
        <f t="shared" si="20"/>
        <v>#N/A</v>
      </c>
      <c r="J168" s="167"/>
      <c r="M168" s="22" t="s">
        <v>71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66">
        <f t="shared" si="19"/>
        <v>0</v>
      </c>
      <c r="G169" s="166"/>
      <c r="H169" s="29" t="e">
        <f t="shared" si="16"/>
        <v>#N/A</v>
      </c>
      <c r="I169" s="167" t="e">
        <f t="shared" si="20"/>
        <v>#N/A</v>
      </c>
      <c r="J169" s="167"/>
      <c r="M169" s="22" t="s">
        <v>71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66">
        <f t="shared" si="19"/>
        <v>0</v>
      </c>
      <c r="G170" s="166"/>
      <c r="H170" s="29" t="e">
        <f t="shared" si="16"/>
        <v>#N/A</v>
      </c>
      <c r="I170" s="167" t="e">
        <f t="shared" si="20"/>
        <v>#N/A</v>
      </c>
      <c r="J170" s="167"/>
      <c r="M170" s="22" t="s">
        <v>71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66">
        <f t="shared" si="19"/>
        <v>0</v>
      </c>
      <c r="G171" s="166"/>
      <c r="H171" s="29" t="e">
        <f t="shared" si="16"/>
        <v>#N/A</v>
      </c>
      <c r="I171" s="167" t="e">
        <f t="shared" si="20"/>
        <v>#N/A</v>
      </c>
      <c r="J171" s="167"/>
      <c r="M171" s="22" t="s">
        <v>71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66">
        <f t="shared" si="19"/>
        <v>0</v>
      </c>
      <c r="G172" s="166"/>
      <c r="H172" s="29" t="e">
        <f t="shared" si="16"/>
        <v>#N/A</v>
      </c>
      <c r="I172" s="167" t="e">
        <f t="shared" si="20"/>
        <v>#N/A</v>
      </c>
      <c r="J172" s="167"/>
      <c r="M172" s="22" t="s">
        <v>71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66">
        <f t="shared" si="19"/>
        <v>0</v>
      </c>
      <c r="G173" s="166"/>
      <c r="H173" s="29" t="e">
        <f t="shared" si="16"/>
        <v>#N/A</v>
      </c>
      <c r="I173" s="167" t="e">
        <f t="shared" si="20"/>
        <v>#N/A</v>
      </c>
      <c r="J173" s="167"/>
      <c r="M173" s="22" t="s">
        <v>71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66">
        <f t="shared" si="19"/>
        <v>0</v>
      </c>
      <c r="G174" s="166"/>
      <c r="H174" s="29" t="e">
        <f t="shared" si="16"/>
        <v>#N/A</v>
      </c>
      <c r="I174" s="167" t="e">
        <f t="shared" si="20"/>
        <v>#N/A</v>
      </c>
      <c r="J174" s="167"/>
      <c r="M174" s="22" t="s">
        <v>71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66">
        <f t="shared" si="19"/>
        <v>0</v>
      </c>
      <c r="G175" s="166"/>
      <c r="H175" s="29" t="e">
        <f t="shared" si="16"/>
        <v>#N/A</v>
      </c>
      <c r="I175" s="167" t="e">
        <f t="shared" si="20"/>
        <v>#N/A</v>
      </c>
      <c r="J175" s="167"/>
      <c r="M175" s="22" t="s">
        <v>71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66">
        <f t="shared" si="19"/>
        <v>0</v>
      </c>
      <c r="G176" s="166"/>
      <c r="H176" s="29" t="e">
        <f t="shared" si="16"/>
        <v>#N/A</v>
      </c>
      <c r="I176" s="167" t="e">
        <f t="shared" si="20"/>
        <v>#N/A</v>
      </c>
      <c r="J176" s="167"/>
      <c r="M176" s="22" t="s">
        <v>71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66">
        <f t="shared" si="19"/>
        <v>0</v>
      </c>
      <c r="G177" s="166"/>
      <c r="H177" s="29" t="e">
        <f t="shared" si="16"/>
        <v>#N/A</v>
      </c>
      <c r="I177" s="167" t="e">
        <f t="shared" si="20"/>
        <v>#N/A</v>
      </c>
      <c r="J177" s="167"/>
      <c r="M177" s="22" t="s">
        <v>71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66">
        <f t="shared" si="19"/>
        <v>0</v>
      </c>
      <c r="G178" s="166"/>
      <c r="H178" s="29" t="e">
        <f t="shared" si="16"/>
        <v>#N/A</v>
      </c>
      <c r="I178" s="167" t="e">
        <f t="shared" si="20"/>
        <v>#N/A</v>
      </c>
      <c r="J178" s="167"/>
      <c r="M178" s="22" t="s">
        <v>71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66">
        <f t="shared" si="19"/>
        <v>0</v>
      </c>
      <c r="G179" s="166"/>
      <c r="H179" s="29" t="e">
        <f t="shared" si="16"/>
        <v>#N/A</v>
      </c>
      <c r="I179" s="167" t="e">
        <f t="shared" si="20"/>
        <v>#N/A</v>
      </c>
      <c r="J179" s="167"/>
      <c r="M179" s="22" t="s">
        <v>71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66">
        <f t="shared" si="19"/>
        <v>0</v>
      </c>
      <c r="G180" s="166"/>
      <c r="H180" s="29" t="e">
        <f t="shared" si="16"/>
        <v>#N/A</v>
      </c>
      <c r="I180" s="167" t="e">
        <f t="shared" si="20"/>
        <v>#N/A</v>
      </c>
      <c r="J180" s="167"/>
      <c r="M180" s="22" t="s">
        <v>71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66">
        <f t="shared" si="19"/>
        <v>0</v>
      </c>
      <c r="G181" s="166"/>
      <c r="H181" s="29" t="e">
        <f t="shared" si="16"/>
        <v>#N/A</v>
      </c>
      <c r="I181" s="167" t="e">
        <f t="shared" si="20"/>
        <v>#N/A</v>
      </c>
      <c r="J181" s="167"/>
      <c r="M181" s="22" t="s">
        <v>71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66">
        <f t="shared" si="19"/>
        <v>0</v>
      </c>
      <c r="G182" s="166"/>
      <c r="H182" s="29" t="e">
        <f t="shared" si="16"/>
        <v>#N/A</v>
      </c>
      <c r="I182" s="167" t="e">
        <f t="shared" si="20"/>
        <v>#N/A</v>
      </c>
      <c r="J182" s="167"/>
      <c r="M182" s="22" t="s">
        <v>71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66">
        <f t="shared" si="19"/>
        <v>0</v>
      </c>
      <c r="G183" s="166"/>
      <c r="H183" s="29" t="e">
        <f t="shared" si="16"/>
        <v>#N/A</v>
      </c>
      <c r="I183" s="167" t="e">
        <f t="shared" si="20"/>
        <v>#N/A</v>
      </c>
      <c r="J183" s="167"/>
      <c r="M183" s="22" t="s">
        <v>71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66">
        <f t="shared" si="19"/>
        <v>0</v>
      </c>
      <c r="G184" s="166"/>
      <c r="H184" s="29" t="e">
        <f t="shared" si="16"/>
        <v>#N/A</v>
      </c>
      <c r="I184" s="167" t="e">
        <f t="shared" si="20"/>
        <v>#N/A</v>
      </c>
      <c r="J184" s="167"/>
      <c r="M184" s="22" t="s">
        <v>71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66">
        <f t="shared" si="19"/>
        <v>0</v>
      </c>
      <c r="G185" s="166"/>
      <c r="H185" s="29" t="e">
        <f t="shared" si="16"/>
        <v>#N/A</v>
      </c>
      <c r="I185" s="167" t="e">
        <f t="shared" si="20"/>
        <v>#N/A</v>
      </c>
      <c r="J185" s="167"/>
      <c r="M185" s="22" t="s">
        <v>71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66">
        <f t="shared" si="19"/>
        <v>0</v>
      </c>
      <c r="G186" s="166"/>
      <c r="H186" s="29" t="e">
        <f t="shared" si="16"/>
        <v>#N/A</v>
      </c>
      <c r="I186" s="167" t="e">
        <f t="shared" si="20"/>
        <v>#N/A</v>
      </c>
      <c r="J186" s="167"/>
      <c r="M186" s="22" t="s">
        <v>71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66">
        <f t="shared" si="19"/>
        <v>0</v>
      </c>
      <c r="G187" s="166"/>
      <c r="H187" s="29" t="e">
        <f t="shared" si="16"/>
        <v>#N/A</v>
      </c>
      <c r="I187" s="167" t="e">
        <f t="shared" si="20"/>
        <v>#N/A</v>
      </c>
      <c r="J187" s="167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68" t="s">
        <v>190</v>
      </c>
      <c r="B190" s="168"/>
      <c r="C190" s="168"/>
      <c r="D190" s="168"/>
      <c r="E190" s="27">
        <f>SUM(F158:G187)</f>
        <v>35296</v>
      </c>
    </row>
    <row r="191" spans="1:14" ht="51.75" customHeight="1">
      <c r="A191" s="168" t="s">
        <v>191</v>
      </c>
      <c r="B191" s="168"/>
      <c r="C191" s="168"/>
      <c r="D191" s="168"/>
      <c r="E191" s="27">
        <f>E190+E154-E155</f>
        <v>-222900.52</v>
      </c>
    </row>
    <row r="192" spans="1:14">
      <c r="A192" s="102" t="s">
        <v>174</v>
      </c>
    </row>
    <row r="193" spans="1:10" ht="62.25" customHeight="1">
      <c r="A193" s="193" t="s">
        <v>192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2" t="str">
        <f>ПТО!F12</f>
        <v xml:space="preserve">  -  поверка (замена) манометров и термометров</v>
      </c>
      <c r="B194" s="192"/>
      <c r="C194" s="192"/>
      <c r="D194" s="192"/>
      <c r="E194" s="192"/>
      <c r="F194" s="192"/>
      <c r="G194" s="192"/>
      <c r="H194" s="47">
        <f>ПТО!G12</f>
        <v>1200</v>
      </c>
      <c r="I194" s="48" t="s">
        <v>74</v>
      </c>
    </row>
    <row r="195" spans="1:10" ht="18.75" customHeight="1">
      <c r="A195" s="192" t="str">
        <f>ПТО!F13</f>
        <v xml:space="preserve">  -  техническое освидетельствование лифта</v>
      </c>
      <c r="B195" s="192"/>
      <c r="C195" s="192"/>
      <c r="D195" s="192"/>
      <c r="E195" s="192"/>
      <c r="F195" s="192"/>
      <c r="G195" s="192"/>
      <c r="H195" s="47">
        <f>ПТО!G13</f>
        <v>4100</v>
      </c>
      <c r="I195" s="48" t="s">
        <v>74</v>
      </c>
    </row>
    <row r="196" spans="1:10" ht="18.75" customHeight="1">
      <c r="A196" s="192" t="str">
        <f>ПТО!F14</f>
        <v xml:space="preserve">  -  техническое обслуживание охранной сигнализации</v>
      </c>
      <c r="B196" s="192"/>
      <c r="C196" s="192"/>
      <c r="D196" s="192"/>
      <c r="E196" s="192"/>
      <c r="F196" s="192"/>
      <c r="G196" s="192"/>
      <c r="H196" s="47">
        <f>ПТО!G14</f>
        <v>4000</v>
      </c>
      <c r="I196" s="48" t="s">
        <v>74</v>
      </c>
    </row>
    <row r="197" spans="1:10" ht="18.75" customHeight="1">
      <c r="A197" s="192" t="str">
        <f>ПТО!F15</f>
        <v xml:space="preserve">  -  благоустройство придомовой территории</v>
      </c>
      <c r="B197" s="192"/>
      <c r="C197" s="192"/>
      <c r="D197" s="192"/>
      <c r="E197" s="192"/>
      <c r="F197" s="192"/>
      <c r="G197" s="192"/>
      <c r="H197" s="47">
        <f>ПТО!G15</f>
        <v>5000</v>
      </c>
      <c r="I197" s="48" t="s">
        <v>74</v>
      </c>
    </row>
    <row r="198" spans="1:10" ht="18.75" customHeight="1">
      <c r="A198" s="192" t="str">
        <f>ПТО!F16</f>
        <v xml:space="preserve">  -  замена дефлектора </v>
      </c>
      <c r="B198" s="192"/>
      <c r="C198" s="192"/>
      <c r="D198" s="192"/>
      <c r="E198" s="192"/>
      <c r="F198" s="192"/>
      <c r="G198" s="192"/>
      <c r="H198" s="47">
        <f>ПТО!G16</f>
        <v>25000</v>
      </c>
      <c r="I198" s="50" t="s">
        <v>74</v>
      </c>
    </row>
    <row r="199" spans="1:10" ht="18.75" hidden="1" customHeight="1">
      <c r="A199" s="192">
        <f>ПТО!F17</f>
        <v>0</v>
      </c>
      <c r="B199" s="192"/>
      <c r="C199" s="192"/>
      <c r="D199" s="192"/>
      <c r="E199" s="192"/>
      <c r="F199" s="192"/>
      <c r="G199" s="192"/>
      <c r="H199" s="47">
        <f>ПТО!G17</f>
        <v>0</v>
      </c>
      <c r="I199" s="48" t="s">
        <v>74</v>
      </c>
    </row>
    <row r="200" spans="1:10" hidden="1">
      <c r="A200" s="192">
        <f>ПТО!F18</f>
        <v>0</v>
      </c>
      <c r="B200" s="192"/>
      <c r="C200" s="192"/>
      <c r="D200" s="192"/>
      <c r="E200" s="192"/>
      <c r="F200" s="192"/>
      <c r="G200" s="192"/>
      <c r="H200" s="47">
        <f>ПТО!G18</f>
        <v>0</v>
      </c>
      <c r="I200" s="48" t="s">
        <v>74</v>
      </c>
    </row>
    <row r="201" spans="1:10" hidden="1">
      <c r="A201" s="192">
        <f>ПТО!F19</f>
        <v>0</v>
      </c>
      <c r="B201" s="192"/>
      <c r="C201" s="192"/>
      <c r="D201" s="192"/>
      <c r="E201" s="192"/>
      <c r="F201" s="192"/>
      <c r="G201" s="192"/>
      <c r="H201" s="47">
        <f>ПТО!G19</f>
        <v>0</v>
      </c>
      <c r="I201" s="48" t="s">
        <v>74</v>
      </c>
    </row>
    <row r="202" spans="1:10" hidden="1">
      <c r="A202" s="192">
        <f>ПТО!F20</f>
        <v>0</v>
      </c>
      <c r="B202" s="192"/>
      <c r="C202" s="192"/>
      <c r="D202" s="192"/>
      <c r="E202" s="192"/>
      <c r="F202" s="192"/>
      <c r="G202" s="192"/>
      <c r="H202" s="47">
        <f>ПТО!G20</f>
        <v>0</v>
      </c>
      <c r="I202" s="48" t="s">
        <v>74</v>
      </c>
    </row>
    <row r="203" spans="1:10" hidden="1">
      <c r="A203" s="192">
        <f>ПТО!F21</f>
        <v>0</v>
      </c>
      <c r="B203" s="192"/>
      <c r="C203" s="192"/>
      <c r="D203" s="192"/>
      <c r="E203" s="192"/>
      <c r="F203" s="192"/>
      <c r="G203" s="192"/>
      <c r="H203" s="47">
        <f>ПТО!G21</f>
        <v>0</v>
      </c>
      <c r="I203" s="48" t="s">
        <v>74</v>
      </c>
    </row>
    <row r="204" spans="1:10" hidden="1">
      <c r="A204" s="192">
        <f>ПТО!F22</f>
        <v>0</v>
      </c>
      <c r="B204" s="192"/>
      <c r="C204" s="192"/>
      <c r="D204" s="192"/>
      <c r="E204" s="192"/>
      <c r="F204" s="192"/>
      <c r="G204" s="192"/>
      <c r="H204" s="47">
        <f>ПТО!G22</f>
        <v>0</v>
      </c>
      <c r="I204" s="48" t="s">
        <v>74</v>
      </c>
    </row>
    <row r="205" spans="1:10" hidden="1">
      <c r="A205" s="192">
        <f>ПТО!F23</f>
        <v>0</v>
      </c>
      <c r="B205" s="192"/>
      <c r="C205" s="192"/>
      <c r="D205" s="192"/>
      <c r="E205" s="192"/>
      <c r="F205" s="192"/>
      <c r="G205" s="192"/>
      <c r="H205" s="47">
        <f>ПТО!G23</f>
        <v>0</v>
      </c>
      <c r="I205" s="48" t="s">
        <v>74</v>
      </c>
    </row>
    <row r="206" spans="1:10" hidden="1">
      <c r="A206" s="192">
        <f>ПТО!F24</f>
        <v>0</v>
      </c>
      <c r="B206" s="192"/>
      <c r="C206" s="192"/>
      <c r="D206" s="192"/>
      <c r="E206" s="192"/>
      <c r="F206" s="192"/>
      <c r="G206" s="192"/>
      <c r="H206" s="47">
        <f>ПТО!G24</f>
        <v>0</v>
      </c>
      <c r="I206" s="48" t="s">
        <v>74</v>
      </c>
    </row>
    <row r="207" spans="1:10" hidden="1">
      <c r="A207" s="192">
        <f>ПТО!F25</f>
        <v>0</v>
      </c>
      <c r="B207" s="192"/>
      <c r="C207" s="192"/>
      <c r="D207" s="192"/>
      <c r="E207" s="192"/>
      <c r="F207" s="192"/>
      <c r="G207" s="192"/>
      <c r="H207" s="47">
        <f>ПТО!G25</f>
        <v>0</v>
      </c>
      <c r="I207" s="48" t="s">
        <v>74</v>
      </c>
    </row>
    <row r="208" spans="1:10" hidden="1">
      <c r="A208" s="192">
        <f>ПТО!F26</f>
        <v>0</v>
      </c>
      <c r="B208" s="192"/>
      <c r="C208" s="192"/>
      <c r="D208" s="192"/>
      <c r="E208" s="192"/>
      <c r="F208" s="192"/>
      <c r="G208" s="192"/>
      <c r="H208" s="47">
        <f>ПТО!G26</f>
        <v>0</v>
      </c>
      <c r="I208" s="48" t="s">
        <v>74</v>
      </c>
    </row>
    <row r="209" spans="1:9" hidden="1">
      <c r="A209" s="192">
        <f>ПТО!F27</f>
        <v>0</v>
      </c>
      <c r="B209" s="192"/>
      <c r="C209" s="192"/>
      <c r="D209" s="192"/>
      <c r="E209" s="192"/>
      <c r="F209" s="192"/>
      <c r="G209" s="192"/>
      <c r="H209" s="47">
        <f>ПТО!G27</f>
        <v>0</v>
      </c>
      <c r="I209" s="48" t="s">
        <v>74</v>
      </c>
    </row>
    <row r="210" spans="1:9" hidden="1">
      <c r="A210" s="192">
        <f>ПТО!F28</f>
        <v>0</v>
      </c>
      <c r="B210" s="192"/>
      <c r="C210" s="192"/>
      <c r="D210" s="192"/>
      <c r="E210" s="192"/>
      <c r="F210" s="192"/>
      <c r="G210" s="192"/>
      <c r="H210" s="47">
        <f>ПТО!G28</f>
        <v>0</v>
      </c>
      <c r="I210" s="48" t="s">
        <v>74</v>
      </c>
    </row>
    <row r="211" spans="1:9" hidden="1">
      <c r="A211" s="192">
        <f>ПТО!F29</f>
        <v>0</v>
      </c>
      <c r="B211" s="192"/>
      <c r="C211" s="192"/>
      <c r="D211" s="192"/>
      <c r="E211" s="192"/>
      <c r="F211" s="192"/>
      <c r="G211" s="192"/>
      <c r="H211" s="47">
        <f>ПТО!G29</f>
        <v>0</v>
      </c>
      <c r="I211" s="48" t="s">
        <v>74</v>
      </c>
    </row>
    <row r="212" spans="1:9" hidden="1">
      <c r="A212" s="192">
        <f>ПТО!F30</f>
        <v>0</v>
      </c>
      <c r="B212" s="192"/>
      <c r="C212" s="192"/>
      <c r="D212" s="192"/>
      <c r="E212" s="192"/>
      <c r="F212" s="192"/>
      <c r="G212" s="192"/>
      <c r="H212" s="47">
        <f>ПТО!G30</f>
        <v>0</v>
      </c>
      <c r="I212" s="48" t="s">
        <v>74</v>
      </c>
    </row>
    <row r="213" spans="1:9" hidden="1">
      <c r="A213" s="192">
        <f>ПТО!F31</f>
        <v>0</v>
      </c>
      <c r="B213" s="192"/>
      <c r="C213" s="192"/>
      <c r="D213" s="192"/>
      <c r="E213" s="192"/>
      <c r="F213" s="192"/>
      <c r="G213" s="192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39300</v>
      </c>
      <c r="I214" s="54" t="s">
        <v>77</v>
      </c>
    </row>
  </sheetData>
  <sheetProtection algorithmName="SHA-512" hashValue="u+fuGe3XtN7PNd/ECIsOaX7NOghITPV5NUkpbHOLNc9UfLP47ZpihgYQ/ForJGpD3dmSQWS1doyPxt1+ZVYDsw==" saltValue="9mbws8QoQ0ScwDaS8Y8/x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5" t="s">
        <v>19</v>
      </c>
      <c r="B1" s="135" t="s">
        <v>56</v>
      </c>
      <c r="C1" s="135" t="s">
        <v>21</v>
      </c>
      <c r="D1" s="135" t="s">
        <v>20</v>
      </c>
      <c r="E1" s="136"/>
      <c r="F1" s="98" t="s">
        <v>188</v>
      </c>
      <c r="G1" s="99">
        <f>-122192.12</f>
        <v>-122192.12</v>
      </c>
    </row>
    <row r="2" spans="1:12" ht="18.75" customHeight="1">
      <c r="A2" s="137" t="s">
        <v>72</v>
      </c>
      <c r="B2" s="138" t="s">
        <v>179</v>
      </c>
      <c r="C2" s="138">
        <v>1</v>
      </c>
      <c r="D2" s="139">
        <v>4100</v>
      </c>
      <c r="E2" s="140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184</v>
      </c>
      <c r="B3" s="142" t="s">
        <v>182</v>
      </c>
      <c r="C3" s="142">
        <v>12</v>
      </c>
      <c r="D3" s="143">
        <v>4000</v>
      </c>
      <c r="E3" s="144" t="s">
        <v>205</v>
      </c>
      <c r="F3" s="30"/>
      <c r="G3" s="30"/>
      <c r="L3" s="33" t="str">
        <f t="shared" si="0"/>
        <v>ТР</v>
      </c>
    </row>
    <row r="4" spans="1:12" ht="18.75" customHeight="1">
      <c r="A4" s="145" t="s">
        <v>193</v>
      </c>
      <c r="B4" s="146" t="s">
        <v>185</v>
      </c>
      <c r="C4" s="147">
        <v>1</v>
      </c>
      <c r="D4" s="148">
        <v>415</v>
      </c>
      <c r="E4" s="149" t="s">
        <v>197</v>
      </c>
      <c r="F4" s="30"/>
      <c r="G4" s="30"/>
      <c r="L4" s="33" t="str">
        <f t="shared" si="0"/>
        <v>ТР</v>
      </c>
    </row>
    <row r="5" spans="1:12" ht="29.25" customHeight="1">
      <c r="A5" s="150" t="s">
        <v>198</v>
      </c>
      <c r="B5" s="151" t="s">
        <v>185</v>
      </c>
      <c r="C5" s="152">
        <v>1</v>
      </c>
      <c r="D5" s="153">
        <v>365</v>
      </c>
      <c r="E5" s="140" t="s">
        <v>199</v>
      </c>
      <c r="F5" s="42"/>
      <c r="G5" s="42"/>
      <c r="K5" s="44"/>
      <c r="L5" s="33" t="str">
        <f t="shared" si="0"/>
        <v>ТР</v>
      </c>
    </row>
    <row r="6" spans="1:12" ht="32.25" customHeight="1">
      <c r="A6" s="154" t="s">
        <v>194</v>
      </c>
      <c r="B6" s="155" t="s">
        <v>185</v>
      </c>
      <c r="C6" s="152">
        <v>1</v>
      </c>
      <c r="D6" s="153">
        <v>15300</v>
      </c>
      <c r="E6" s="140" t="s">
        <v>195</v>
      </c>
      <c r="F6" s="42"/>
      <c r="G6" s="42"/>
      <c r="K6" s="44"/>
      <c r="L6" s="33" t="str">
        <f t="shared" si="0"/>
        <v>ТР</v>
      </c>
    </row>
    <row r="7" spans="1:12" ht="27.75" customHeight="1">
      <c r="A7" s="156" t="s">
        <v>201</v>
      </c>
      <c r="B7" s="151" t="s">
        <v>185</v>
      </c>
      <c r="C7" s="152">
        <v>1</v>
      </c>
      <c r="D7" s="153">
        <v>114</v>
      </c>
      <c r="E7" s="140" t="s">
        <v>200</v>
      </c>
      <c r="F7" s="129"/>
      <c r="G7" s="43"/>
      <c r="K7" s="44"/>
      <c r="L7" s="33" t="str">
        <f t="shared" si="0"/>
        <v>ТР</v>
      </c>
    </row>
    <row r="8" spans="1:12" ht="30.75" customHeight="1">
      <c r="A8" s="157" t="s">
        <v>196</v>
      </c>
      <c r="B8" s="158" t="s">
        <v>185</v>
      </c>
      <c r="C8" s="158">
        <v>1</v>
      </c>
      <c r="D8" s="149">
        <v>2537</v>
      </c>
      <c r="E8" s="149" t="s">
        <v>202</v>
      </c>
      <c r="F8" s="43"/>
      <c r="G8" s="43"/>
      <c r="K8" s="41"/>
      <c r="L8" s="33" t="str">
        <f t="shared" si="0"/>
        <v>ТР</v>
      </c>
    </row>
    <row r="9" spans="1:12">
      <c r="A9" s="159" t="s">
        <v>186</v>
      </c>
      <c r="B9" s="160" t="s">
        <v>185</v>
      </c>
      <c r="C9" s="147">
        <v>1</v>
      </c>
      <c r="D9" s="153">
        <v>8465</v>
      </c>
      <c r="E9" s="149" t="s">
        <v>204</v>
      </c>
      <c r="F9" s="42"/>
      <c r="G9" s="42"/>
      <c r="K9" s="41"/>
      <c r="L9" s="33" t="str">
        <f t="shared" si="0"/>
        <v>ТР</v>
      </c>
    </row>
    <row r="10" spans="1:12">
      <c r="A10" s="130"/>
      <c r="B10" s="131"/>
      <c r="C10" s="124"/>
      <c r="D10" s="125"/>
      <c r="E10" s="128"/>
      <c r="L10" s="33">
        <f t="shared" si="0"/>
        <v>0</v>
      </c>
    </row>
    <row r="11" spans="1:12" ht="94.5">
      <c r="A11" s="130"/>
      <c r="B11" s="131"/>
      <c r="C11" s="124"/>
      <c r="D11" s="125"/>
      <c r="E11" s="128"/>
      <c r="F11" s="109" t="s">
        <v>192</v>
      </c>
      <c r="G11" s="109"/>
      <c r="L11" s="33">
        <f t="shared" si="0"/>
        <v>0</v>
      </c>
    </row>
    <row r="12" spans="1:12" ht="31.5">
      <c r="A12" s="132"/>
      <c r="B12" s="133"/>
      <c r="C12" s="126"/>
      <c r="D12" s="127"/>
      <c r="E12" s="128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4100</v>
      </c>
      <c r="L13" s="33">
        <f t="shared" si="0"/>
        <v>0</v>
      </c>
    </row>
    <row r="14" spans="1:12" ht="31.5">
      <c r="A14" s="30"/>
      <c r="F14" s="110" t="s">
        <v>183</v>
      </c>
      <c r="G14" s="111">
        <v>4000</v>
      </c>
      <c r="L14" s="33">
        <f t="shared" si="0"/>
        <v>0</v>
      </c>
    </row>
    <row r="15" spans="1:12" ht="31.5">
      <c r="A15" s="30"/>
      <c r="F15" s="117" t="s">
        <v>181</v>
      </c>
      <c r="G15" s="116">
        <v>5000</v>
      </c>
      <c r="L15" s="33">
        <f t="shared" si="0"/>
        <v>0</v>
      </c>
    </row>
    <row r="16" spans="1:12" ht="15.75">
      <c r="A16" s="30"/>
      <c r="F16" s="122" t="s">
        <v>187</v>
      </c>
      <c r="G16" s="123">
        <v>25000</v>
      </c>
      <c r="L16" s="33">
        <f t="shared" si="0"/>
        <v>0</v>
      </c>
    </row>
    <row r="17" spans="1:12" ht="15.75">
      <c r="A17" s="30"/>
      <c r="F17" s="117"/>
      <c r="G17" s="116"/>
      <c r="L17" s="33">
        <f t="shared" si="0"/>
        <v>0</v>
      </c>
    </row>
    <row r="18" spans="1:12" ht="15.75">
      <c r="A18" s="30"/>
      <c r="F18" s="115"/>
      <c r="G18" s="116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61" t="s">
        <v>22</v>
      </c>
      <c r="B39" s="162">
        <f>G39*F39*'Абонентский отдел'!$F$1</f>
        <v>129657.52800000001</v>
      </c>
      <c r="C39" s="162" t="s">
        <v>67</v>
      </c>
      <c r="D39" s="163">
        <v>12</v>
      </c>
      <c r="E39" s="34"/>
      <c r="F39" s="31">
        <v>4.29</v>
      </c>
      <c r="G39" s="120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129657.52800000001</v>
      </c>
      <c r="O39" s="39" t="str">
        <f>C39</f>
        <v>Ежемесячно</v>
      </c>
      <c r="P39">
        <f>D39</f>
        <v>12</v>
      </c>
    </row>
    <row r="40" spans="1:16" ht="31.5" customHeight="1">
      <c r="A40" s="161" t="s">
        <v>175</v>
      </c>
      <c r="B40" s="162">
        <f>G40*F40*'Абонентский отдел'!$F$1</f>
        <v>54099.527999999998</v>
      </c>
      <c r="C40" s="162" t="s">
        <v>67</v>
      </c>
      <c r="D40" s="163">
        <v>12</v>
      </c>
      <c r="E40" s="34"/>
      <c r="F40" s="31">
        <v>1.79</v>
      </c>
      <c r="G40" s="120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54099.527999999998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1" t="s">
        <v>206</v>
      </c>
      <c r="B41" s="162">
        <f>G41*F41*'Абонентский отдел'!$F$1</f>
        <v>42916.943999999996</v>
      </c>
      <c r="C41" s="162" t="s">
        <v>68</v>
      </c>
      <c r="D41" s="163">
        <v>12</v>
      </c>
      <c r="E41" s="34"/>
      <c r="F41" s="31">
        <v>1.42</v>
      </c>
      <c r="G41" s="120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42916.943999999996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1" t="s">
        <v>23</v>
      </c>
      <c r="B42" s="162">
        <f>G42*F42*'Абонентский отдел'!$F$1</f>
        <v>36267.839999999997</v>
      </c>
      <c r="C42" s="162" t="s">
        <v>67</v>
      </c>
      <c r="D42" s="163">
        <v>12</v>
      </c>
      <c r="E42" s="34"/>
      <c r="F42" s="134">
        <v>1.2</v>
      </c>
      <c r="G42" s="120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36267.839999999997</v>
      </c>
      <c r="O42" s="39" t="str">
        <f t="shared" si="5"/>
        <v>Ежемесячно</v>
      </c>
      <c r="P42">
        <f t="shared" si="6"/>
        <v>12</v>
      </c>
    </row>
    <row r="43" spans="1:16" ht="15.75">
      <c r="A43" s="161"/>
      <c r="B43" s="162"/>
      <c r="C43" s="162"/>
      <c r="D43" s="163"/>
      <c r="E43" s="34"/>
      <c r="G43" s="120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61" t="s">
        <v>24</v>
      </c>
      <c r="B44" s="162">
        <f>G44*F44*'Абонентский отдел'!$F$1</f>
        <v>11787.047999999999</v>
      </c>
      <c r="C44" s="162" t="s">
        <v>69</v>
      </c>
      <c r="D44" s="163">
        <v>12</v>
      </c>
      <c r="E44" s="34"/>
      <c r="F44" s="134">
        <v>0.39</v>
      </c>
      <c r="G44" s="120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11787.047999999999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1" t="s">
        <v>25</v>
      </c>
      <c r="B45" s="162">
        <f>G45*F45*'Абонентский отдел'!$F$1</f>
        <v>54401.760000000002</v>
      </c>
      <c r="C45" s="162" t="s">
        <v>68</v>
      </c>
      <c r="D45" s="163">
        <v>12</v>
      </c>
      <c r="E45" s="34"/>
      <c r="F45" s="134">
        <v>1.8</v>
      </c>
      <c r="G45" s="120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54401.760000000002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61" t="s">
        <v>176</v>
      </c>
      <c r="B46" s="162">
        <f>G46*F46*'Абонентский отдел'!$F$1</f>
        <v>120590.568</v>
      </c>
      <c r="C46" s="162" t="s">
        <v>67</v>
      </c>
      <c r="D46" s="164">
        <v>12</v>
      </c>
      <c r="F46" s="134">
        <v>3.99</v>
      </c>
      <c r="G46" s="120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120590.568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8"/>
      <c r="C47" s="119"/>
      <c r="D47" s="46"/>
      <c r="E47" s="118"/>
      <c r="F47" s="118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0"/>
      <c r="F52" s="120"/>
      <c r="G52" s="120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0"/>
      <c r="F53" s="118"/>
      <c r="G53" s="120"/>
      <c r="H53" s="120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0"/>
      <c r="F54" s="120"/>
      <c r="G54" s="120"/>
      <c r="H54" s="120"/>
    </row>
    <row r="55" spans="5:16">
      <c r="E55" s="120"/>
      <c r="F55" s="120"/>
      <c r="G55" s="120"/>
      <c r="H55" s="120"/>
    </row>
    <row r="56" spans="5:16">
      <c r="E56" s="120"/>
      <c r="F56" s="120"/>
      <c r="G56" s="120"/>
      <c r="H56" s="120"/>
    </row>
    <row r="57" spans="5:16">
      <c r="E57" s="120"/>
      <c r="F57" s="120"/>
      <c r="G57" s="120"/>
      <c r="H57" s="120"/>
    </row>
    <row r="58" spans="5:16">
      <c r="E58" s="120"/>
      <c r="F58" s="120"/>
      <c r="G58" s="120"/>
      <c r="H58" s="120"/>
    </row>
    <row r="59" spans="5:16">
      <c r="E59" s="120"/>
      <c r="F59" s="118"/>
      <c r="G59" s="120"/>
      <c r="H59" s="120"/>
    </row>
    <row r="60" spans="5:16">
      <c r="E60" s="120"/>
      <c r="F60" s="120"/>
      <c r="G60" s="120"/>
      <c r="H60" s="120"/>
    </row>
    <row r="61" spans="5:16">
      <c r="E61" s="120"/>
      <c r="F61" s="120"/>
      <c r="G61" s="120"/>
      <c r="H61" s="120"/>
    </row>
    <row r="62" spans="5:16">
      <c r="E62" s="120"/>
      <c r="F62" s="120"/>
      <c r="G62" s="120"/>
      <c r="H62" s="120"/>
    </row>
    <row r="63" spans="5:16">
      <c r="E63" s="120"/>
      <c r="F63" s="118"/>
      <c r="G63" s="120"/>
      <c r="H63" s="120"/>
    </row>
    <row r="64" spans="5:16">
      <c r="E64" s="120"/>
      <c r="F64" s="120"/>
      <c r="G64" s="120"/>
      <c r="H64" s="120"/>
    </row>
    <row r="65" spans="4:13" ht="18.75" customHeight="1">
      <c r="E65" s="120"/>
      <c r="F65" s="120"/>
      <c r="G65" s="120"/>
      <c r="H65" s="120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WswD79j/gFLNCRkKhk5mP8RQv6aWjoj0eSc4y2KRzsdjAXTstzxQzkp9YI1Jx8fAt2dI+eRVzK4XXgqo38e7QQ==" saltValue="UtlOpl3sUq6BlVn0MotfU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180</v>
      </c>
      <c r="F1" s="58">
        <v>2518.6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164163.16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580092.6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444088.2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F1*4.5*12</f>
        <v>136004.4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588310.68000000005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588310.68000000005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588310.68000000005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155945.07999999996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96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96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96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96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5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5"/>
      <c r="N26" s="61"/>
    </row>
    <row r="27" spans="1:15" ht="18.75" customHeight="1">
      <c r="A27" s="68" t="s">
        <v>105</v>
      </c>
      <c r="B27" s="73" t="s">
        <v>4</v>
      </c>
      <c r="C27" s="84">
        <v>13323.44</v>
      </c>
      <c r="D27" s="79" t="s">
        <v>59</v>
      </c>
      <c r="E27" s="62"/>
      <c r="F27" s="62"/>
      <c r="G27" s="62"/>
      <c r="H27" s="62"/>
      <c r="I27" s="62"/>
      <c r="J27" s="62"/>
      <c r="M27" s="195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5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5"/>
      <c r="N29" s="61"/>
    </row>
    <row r="30" spans="1:15" ht="18.75" customHeight="1">
      <c r="A30" s="68" t="s">
        <v>108</v>
      </c>
      <c r="B30" s="73" t="s">
        <v>18</v>
      </c>
      <c r="C30" s="84">
        <f>C27+E37+E45+E53-C39-C47-C55</f>
        <v>18976.75</v>
      </c>
      <c r="D30" s="79" t="s">
        <v>65</v>
      </c>
      <c r="E30" s="62"/>
      <c r="F30" s="62"/>
      <c r="G30" s="62"/>
      <c r="H30" s="62"/>
      <c r="I30" s="62"/>
      <c r="J30" s="62"/>
      <c r="M30" s="195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5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5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5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5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195866.73</v>
      </c>
      <c r="F37" s="92" t="s">
        <v>167</v>
      </c>
      <c r="G37" s="64"/>
      <c r="H37" s="64"/>
      <c r="I37" s="64"/>
      <c r="L37" s="61"/>
      <c r="M37" s="194"/>
      <c r="N37" s="61"/>
      <c r="O37" s="61"/>
    </row>
    <row r="38" spans="1:15" ht="18.75" customHeight="1">
      <c r="A38" s="68" t="s">
        <v>113</v>
      </c>
      <c r="B38" s="76" t="s">
        <v>36</v>
      </c>
      <c r="C38" s="88">
        <v>130577.82</v>
      </c>
      <c r="D38" s="92" t="s">
        <v>165</v>
      </c>
      <c r="E38" s="66"/>
      <c r="G38" s="65"/>
      <c r="H38" s="65"/>
      <c r="L38" s="61"/>
      <c r="M38" s="194"/>
      <c r="N38" s="61"/>
      <c r="O38" s="61"/>
    </row>
    <row r="39" spans="1:15" ht="18.75" customHeight="1">
      <c r="A39" s="68" t="s">
        <v>114</v>
      </c>
      <c r="B39" s="76" t="s">
        <v>37</v>
      </c>
      <c r="C39" s="89">
        <v>184972.16</v>
      </c>
      <c r="D39" s="92" t="s">
        <v>166</v>
      </c>
      <c r="E39" s="121"/>
      <c r="G39" s="65"/>
      <c r="H39" s="65"/>
      <c r="L39" s="61"/>
      <c r="M39" s="194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10894.570000000007</v>
      </c>
      <c r="D40" s="78" t="s">
        <v>58</v>
      </c>
      <c r="E40" s="121"/>
      <c r="G40" s="65"/>
      <c r="H40" s="65"/>
      <c r="L40" s="61"/>
      <c r="M40" s="194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195866.73</v>
      </c>
      <c r="D41" s="78" t="s">
        <v>58</v>
      </c>
      <c r="E41" s="121"/>
      <c r="G41" s="65"/>
      <c r="H41" s="65"/>
      <c r="L41" s="61"/>
      <c r="M41" s="194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195866.73</v>
      </c>
      <c r="D42" s="78" t="s">
        <v>58</v>
      </c>
      <c r="E42" s="66"/>
      <c r="G42" s="65"/>
      <c r="H42" s="65"/>
      <c r="L42" s="61"/>
      <c r="M42" s="194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4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4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80352.83</v>
      </c>
      <c r="F45" s="92" t="s">
        <v>167</v>
      </c>
      <c r="G45" s="64"/>
      <c r="H45" s="64"/>
      <c r="L45" s="61"/>
      <c r="M45" s="194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v>5037.79</v>
      </c>
      <c r="D46" s="92" t="s">
        <v>168</v>
      </c>
      <c r="E46" s="66"/>
      <c r="G46" s="65"/>
      <c r="H46" s="65"/>
      <c r="L46" s="61"/>
      <c r="M46" s="194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81919.11</v>
      </c>
      <c r="D47" s="92" t="s">
        <v>166</v>
      </c>
      <c r="E47" s="66"/>
      <c r="G47" s="65"/>
      <c r="H47" s="65"/>
      <c r="L47" s="61"/>
      <c r="M47" s="194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4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80352.83</v>
      </c>
      <c r="D49" s="78" t="s">
        <v>58</v>
      </c>
      <c r="E49" s="66"/>
      <c r="G49" s="65"/>
      <c r="H49" s="65"/>
      <c r="L49" s="61"/>
      <c r="M49" s="194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80352.83</v>
      </c>
      <c r="D50" s="78" t="s">
        <v>58</v>
      </c>
      <c r="E50" s="66"/>
      <c r="G50" s="65"/>
      <c r="H50" s="65"/>
      <c r="L50" s="61"/>
      <c r="M50" s="194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4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4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88486.76</v>
      </c>
      <c r="F53" s="92" t="s">
        <v>167</v>
      </c>
      <c r="G53" s="64"/>
      <c r="H53" s="64"/>
      <c r="L53" s="61"/>
      <c r="M53" s="194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v>4563.53</v>
      </c>
      <c r="D54" s="92" t="s">
        <v>168</v>
      </c>
      <c r="E54" s="67"/>
      <c r="F54" s="87"/>
      <c r="G54" s="62"/>
      <c r="H54" s="62"/>
      <c r="L54" s="61"/>
      <c r="M54" s="194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92161.74</v>
      </c>
      <c r="D55" s="92" t="s">
        <v>166</v>
      </c>
      <c r="E55" s="67"/>
      <c r="G55" s="62"/>
      <c r="H55" s="62"/>
      <c r="L55" s="61"/>
      <c r="M55" s="194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4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88486.76</v>
      </c>
      <c r="D57" s="78" t="s">
        <v>58</v>
      </c>
      <c r="E57" s="67"/>
      <c r="G57" s="62"/>
      <c r="H57" s="62"/>
      <c r="L57" s="61"/>
      <c r="M57" s="194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88486.76</v>
      </c>
      <c r="D58" s="78" t="s">
        <v>58</v>
      </c>
      <c r="E58" s="67"/>
      <c r="G58" s="62"/>
      <c r="H58" s="62"/>
      <c r="L58" s="61"/>
      <c r="M58" s="194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4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4"/>
      <c r="N60" s="61"/>
      <c r="O60" s="61"/>
    </row>
    <row r="61" spans="1:15" ht="15.75">
      <c r="A61" s="71" t="s">
        <v>137</v>
      </c>
      <c r="B61" s="75" t="s">
        <v>78</v>
      </c>
      <c r="C61" s="94">
        <f>IF(E61&gt;0,"Предоставляется",0)</f>
        <v>0</v>
      </c>
      <c r="D61" s="94" t="s">
        <v>54</v>
      </c>
      <c r="E61" s="93"/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/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/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1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2025-03-24T05:12:30Z</dcterms:modified>
</cp:coreProperties>
</file>