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2" i="1"/>
  <c r="H101"/>
  <c r="J100"/>
  <c r="B90"/>
  <c r="B71"/>
  <c r="D70"/>
  <c r="K64"/>
  <c r="K63"/>
  <c r="K61"/>
  <c r="K60"/>
  <c r="K59"/>
  <c r="K58"/>
  <c r="K57"/>
  <c r="K55"/>
  <c r="K54"/>
  <c r="K52"/>
  <c r="J52"/>
  <c r="K51"/>
  <c r="K50"/>
  <c r="K49"/>
  <c r="K47"/>
  <c r="K46"/>
  <c r="K45"/>
  <c r="K44"/>
  <c r="K43"/>
  <c r="K42"/>
  <c r="K41"/>
  <c r="K39"/>
  <c r="K38"/>
  <c r="K36"/>
  <c r="K33"/>
  <c r="K25"/>
  <c r="G19"/>
  <c r="G17"/>
  <c r="G16"/>
  <c r="G15"/>
  <c r="G14"/>
  <c r="G7"/>
  <c r="I7" s="1"/>
  <c r="A20" s="1"/>
  <c r="B6"/>
  <c r="K65" l="1"/>
  <c r="J13"/>
  <c r="K66" l="1"/>
  <c r="K67" s="1"/>
  <c r="K68" s="1"/>
  <c r="G70" s="1"/>
  <c r="K101" s="1"/>
  <c r="C102" s="1"/>
  <c r="H102" s="1"/>
  <c r="F83" s="1"/>
</calcChain>
</file>

<file path=xl/sharedStrings.xml><?xml version="1.0" encoding="utf-8"?>
<sst xmlns="http://schemas.openxmlformats.org/spreadsheetml/2006/main" count="216" uniqueCount="159">
  <si>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</si>
  <si>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</si>
  <si>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</si>
  <si>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   ул. Мамина - Сибиряка    за </t>
  </si>
  <si>
    <t>год</t>
  </si>
  <si>
    <t xml:space="preserve">1.   В </t>
  </si>
  <si>
    <t xml:space="preserve"> по дому</t>
  </si>
  <si>
    <t>8     (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</si>
  <si>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</si>
  <si>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</si>
  <si>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</si>
  <si>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</si>
  <si>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</si>
  <si>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</si>
  <si>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</si>
  <si>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>оф.</t>
    </r>
    <r>
      <rPr>
        <b/>
        <sz val="11"/>
        <color theme="1"/>
        <rFont val="Calibri"/>
        <family val="2"/>
        <charset val="204"/>
        <scheme val="minor"/>
      </rPr>
      <t xml:space="preserve"> 1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</si>
  <si>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</si>
  <si>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12 -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</si>
  <si>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</si>
  <si>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26 -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</si>
  <si>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11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</si>
  <si>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29 -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</si>
  <si>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</si>
  <si>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</si>
  <si>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</si>
  <si>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</si>
  <si>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</si>
  <si>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</si>
  <si>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</si>
  <si>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</si>
  <si>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</si>
  <si>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</si>
  <si>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</si>
  <si>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</si>
  <si>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</si>
  <si>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</si>
  <si>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</si>
  <si>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</si>
  <si>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</si>
  <si>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</si>
  <si>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Замена доводчика на второй входной двери в подъезд.</t>
  </si>
  <si>
    <t>шт.</t>
  </si>
  <si>
    <t>Аварийная чистка канализации КК - 42,43 от 24.01.13 (13,8%)</t>
  </si>
  <si>
    <t>Установка поэтажных табличек.</t>
  </si>
  <si>
    <t>Бетонирование полов в подвале дома (пом. № 3 и 8).</t>
  </si>
  <si>
    <r>
      <t>м</t>
    </r>
    <r>
      <rPr>
        <sz val="11"/>
        <rFont val="Calibri"/>
        <family val="2"/>
        <charset val="204"/>
      </rPr>
      <t>²</t>
    </r>
  </si>
  <si>
    <t>Монтаж металлической двери в подвале дома (пом. № 3)</t>
  </si>
  <si>
    <t>Бетонирование полов в подвале дома (пом. № 1)</t>
  </si>
  <si>
    <t>Замена компенсатора на стояках хвс и гвс ø22 в кв.18.</t>
  </si>
  <si>
    <t>Уборка снега с кровли.</t>
  </si>
  <si>
    <t>Доска для объявлений в подъезде.</t>
  </si>
  <si>
    <t>Вывоз снега с  придомовой територии в феврале.</t>
  </si>
  <si>
    <t>м/час</t>
  </si>
  <si>
    <t>Тех. обслуживание лифта.</t>
  </si>
  <si>
    <t>Монтаж двери в подвале дома. (пом. № 7)</t>
  </si>
  <si>
    <t>Монтаж кирпичных перегородок сан. бытового помещения экспл. персонала.</t>
  </si>
  <si>
    <t>Генеральная уборка подъезда в мае.</t>
  </si>
  <si>
    <t>Замена манометров в ИТП (50%).</t>
  </si>
  <si>
    <t>Замена термометров в ИТП (50%).</t>
  </si>
  <si>
    <t>Установка энергосберегающих ламп в подъезде.</t>
  </si>
  <si>
    <t>Благоустройство территории (чернозем)7,6%</t>
  </si>
  <si>
    <t>т.</t>
  </si>
  <si>
    <t>Благоустройство территории (песок)7,6%</t>
  </si>
  <si>
    <t xml:space="preserve">Замена аварийного насоса ГВС (50%). </t>
  </si>
  <si>
    <t xml:space="preserve">Уборка строительного и бытового мусора на территории. </t>
  </si>
  <si>
    <r>
      <t>м</t>
    </r>
    <r>
      <rPr>
        <sz val="11"/>
        <color theme="1"/>
        <rFont val="Calibri"/>
        <family val="2"/>
        <charset val="204"/>
      </rPr>
      <t>³</t>
    </r>
  </si>
  <si>
    <t>Покраска бордюров на придомовой территории (100%).</t>
  </si>
  <si>
    <t>м.</t>
  </si>
  <si>
    <t>Изготовление и установка детской качели на детской площадке  ( 13,8 %)</t>
  </si>
  <si>
    <t>Бетонирование площадки для лестничного перехода между домами  №6 и №8.</t>
  </si>
  <si>
    <t>Покраска дверей мусорокамеры.</t>
  </si>
  <si>
    <t>Окраска малых форм на детской площадке ( 13,8 %)</t>
  </si>
  <si>
    <t>Генеральная уборка в сентябре.</t>
  </si>
  <si>
    <t>Прочистка, промывка канализации КК-9,КК-10 (сентябрь) (13,8%).</t>
  </si>
  <si>
    <t>Установка доводчика навторые тамбурные двери и ручек на окна в подъезде.</t>
  </si>
  <si>
    <t>Монтаж информационной доски для объявлений в подъезде.</t>
  </si>
  <si>
    <t>Модернизация системы видеонаблюдения.</t>
  </si>
  <si>
    <t xml:space="preserve">Изготовление и монтаж ограждения у подъезда и парковочных столбиков. </t>
  </si>
  <si>
    <t>Табличка в лифт "дежурный лифтер"</t>
  </si>
  <si>
    <t>Замена счетчика холодной воды (23,95%).</t>
  </si>
  <si>
    <t>Замена доводчика в подсобном помещении.</t>
  </si>
  <si>
    <t>Инструкция в лифт "Правила пользования лифтом".</t>
  </si>
  <si>
    <t>Монтаж охранной сигнализации в ИТП (50%).</t>
  </si>
  <si>
    <t>Замена фильтра в ИТП (50%).</t>
  </si>
  <si>
    <t>Ежегодное  тех. освидетельствование лифта.</t>
  </si>
  <si>
    <t>Обслуживание системы видеонаблюдения</t>
  </si>
  <si>
    <t>мес.</t>
  </si>
  <si>
    <t>Установка новогодней елки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</si>
  <si>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</si>
  <si>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</si>
  <si>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</si>
  <si>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</si>
  <si>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</si>
  <si>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</si>
  <si>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</si>
  <si>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</si>
  <si>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</si>
  <si>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</si>
  <si>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</si>
  <si>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</si>
  <si>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</si>
  <si>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</si>
  <si>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</si>
  <si>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</si>
  <si>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</si>
  <si>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18,50 руб./м²</t>
  </si>
  <si>
    <t>2.</t>
  </si>
  <si>
    <t>Текущий ремонт общего имущества.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</si>
  <si>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</si>
  <si>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</si>
  <si>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3.</t>
  </si>
  <si>
    <t>Отопление</t>
  </si>
  <si>
    <t>0,019 Гкал/м</t>
  </si>
  <si>
    <t>0,027 Гкал/м</t>
  </si>
  <si>
    <t>4.</t>
  </si>
  <si>
    <t>Горячее водоснабжение.</t>
  </si>
  <si>
    <t>251,15 руб./чел.</t>
  </si>
  <si>
    <t>301,44 руб./чел.</t>
  </si>
  <si>
    <t>5.</t>
  </si>
  <si>
    <t>Холодное водоснабжение.</t>
  </si>
  <si>
    <t>59,76 руб./чел.</t>
  </si>
  <si>
    <t>74,71 руб./чел.</t>
  </si>
  <si>
    <t>6.</t>
  </si>
  <si>
    <t>Водоотведение.</t>
  </si>
  <si>
    <t>93,46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</si>
  <si>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</si>
  <si>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</si>
  <si>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</si>
  <si>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</si>
  <si>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</si>
  <si>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</si>
  <si>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исходя из объемов потребления в</t>
  </si>
  <si>
    <t>году, с последующим перерасчетом по окончании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</si>
  <si>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</si>
  <si>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</si>
  <si>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</si>
  <si>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</si>
  <si>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6.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</si>
  <si>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</si>
  <si>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</si>
  <si>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</si>
  <si>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</si>
  <si>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</si>
  <si>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</si>
  <si>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</si>
  <si>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</si>
  <si>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 -  обслуживание системы видеонаблюдения</t>
  </si>
  <si>
    <t xml:space="preserve"> -   генеральная уборка подъезда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</si>
  <si>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</si>
  <si>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</si>
  <si>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</si>
  <si>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</si>
  <si>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</si>
  <si>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</si>
  <si>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</si>
  <si>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</si>
  <si>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</si>
  <si>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</si>
  <si>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2014г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</si>
</sst>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Alignment="1"/>
    <xf numFmtId="0" fontId="5" fillId="0" borderId="0" xfId="0" applyFont="1" applyFill="1"/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4" fontId="7" fillId="0" borderId="0" xfId="0" applyNumberFormat="1" applyFont="1" applyFill="1" applyAlignment="1">
      <alignment horizontal="center"/>
    </xf>
    <xf numFmtId="4" fontId="5" fillId="0" borderId="0" xfId="0" applyNumberFormat="1" applyFont="1" applyFill="1" applyAlignment="1"/>
    <xf numFmtId="4" fontId="10" fillId="0" borderId="0" xfId="0" applyNumberFormat="1" applyFont="1" applyFill="1"/>
    <xf numFmtId="2" fontId="7" fillId="0" borderId="0" xfId="0" applyNumberFormat="1" applyFont="1" applyFill="1" applyAlignment="1">
      <alignment horizontal="center"/>
    </xf>
    <xf numFmtId="4" fontId="7" fillId="0" borderId="0" xfId="0" applyNumberFormat="1" applyFont="1" applyFill="1"/>
    <xf numFmtId="4" fontId="5" fillId="0" borderId="0" xfId="0" applyNumberFormat="1" applyFont="1" applyFill="1"/>
    <xf numFmtId="0" fontId="7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4" fontId="11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5" fillId="0" borderId="0" xfId="0" applyFont="1" applyFill="1" applyAlignment="1"/>
    <xf numFmtId="4" fontId="13" fillId="0" borderId="0" xfId="0" applyNumberFormat="1" applyFont="1" applyFill="1"/>
    <xf numFmtId="0" fontId="1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 applyAlignment="1"/>
    <xf numFmtId="0" fontId="0" fillId="0" borderId="9" xfId="0" applyFill="1" applyBorder="1"/>
    <xf numFmtId="0" fontId="5" fillId="0" borderId="9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/>
    <xf numFmtId="0" fontId="1" fillId="0" borderId="10" xfId="0" applyFont="1" applyFill="1" applyBorder="1" applyAlignment="1"/>
    <xf numFmtId="0" fontId="1" fillId="0" borderId="11" xfId="0" applyFont="1" applyFill="1" applyBorder="1" applyAlignment="1"/>
    <xf numFmtId="0" fontId="1" fillId="0" borderId="12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2" fontId="5" fillId="0" borderId="0" xfId="0" applyNumberFormat="1" applyFont="1" applyFill="1"/>
    <xf numFmtId="49" fontId="0" fillId="0" borderId="0" xfId="0" applyNumberFormat="1" applyFill="1" applyBorder="1" applyAlignment="1">
      <alignment horizontal="left"/>
    </xf>
    <xf numFmtId="49" fontId="5" fillId="0" borderId="0" xfId="0" applyNumberFormat="1" applyFont="1" applyFill="1"/>
    <xf numFmtId="4" fontId="0" fillId="0" borderId="0" xfId="0" applyNumberFormat="1" applyAlignment="1">
      <alignment horizontal="right"/>
    </xf>
    <xf numFmtId="0" fontId="1" fillId="0" borderId="0" xfId="0" applyFont="1" applyFill="1" applyBorder="1" applyAlignment="1">
      <alignment horizontal="left"/>
    </xf>
    <xf numFmtId="0" fontId="7" fillId="0" borderId="0" xfId="0" applyFont="1" applyFill="1"/>
    <xf numFmtId="1" fontId="5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righ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1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7" fillId="0" borderId="6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" fontId="0" fillId="0" borderId="14" xfId="0" applyNumberFormat="1" applyFill="1" applyBorder="1" applyAlignment="1"/>
    <xf numFmtId="4" fontId="0" fillId="0" borderId="15" xfId="0" applyNumberFormat="1" applyFill="1" applyBorder="1" applyAlignment="1"/>
    <xf numFmtId="4" fontId="1" fillId="0" borderId="6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4" fontId="9" fillId="0" borderId="6" xfId="0" applyNumberFormat="1" applyFont="1" applyFill="1" applyBorder="1" applyAlignment="1"/>
    <xf numFmtId="4" fontId="9" fillId="0" borderId="8" xfId="0" applyNumberFormat="1" applyFont="1" applyFill="1" applyBorder="1" applyAlignment="1"/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4" fontId="0" fillId="0" borderId="14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5" fillId="0" borderId="14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4" fontId="5" fillId="0" borderId="14" xfId="0" applyNumberFormat="1" applyFont="1" applyFill="1" applyBorder="1" applyAlignment="1">
      <alignment horizontal="right" vertical="center"/>
    </xf>
    <xf numFmtId="4" fontId="5" fillId="0" borderId="15" xfId="0" applyNumberFormat="1" applyFont="1" applyFill="1" applyBorder="1" applyAlignment="1">
      <alignment horizontal="right" vertical="center"/>
    </xf>
    <xf numFmtId="4" fontId="1" fillId="0" borderId="14" xfId="0" applyNumberFormat="1" applyFont="1" applyFill="1" applyBorder="1" applyAlignment="1">
      <alignment horizontal="right"/>
    </xf>
    <xf numFmtId="4" fontId="1" fillId="0" borderId="15" xfId="0" applyNumberFormat="1" applyFont="1" applyFill="1" applyBorder="1" applyAlignment="1">
      <alignment horizontal="right"/>
    </xf>
    <xf numFmtId="4" fontId="5" fillId="0" borderId="14" xfId="0" applyNumberFormat="1" applyFont="1" applyFill="1" applyBorder="1" applyAlignment="1">
      <alignment horizontal="right"/>
    </xf>
    <xf numFmtId="4" fontId="5" fillId="0" borderId="15" xfId="0" applyNumberFormat="1" applyFont="1" applyFill="1" applyBorder="1" applyAlignment="1">
      <alignment horizontal="right"/>
    </xf>
    <xf numFmtId="4" fontId="5" fillId="0" borderId="14" xfId="0" applyNumberFormat="1" applyFont="1" applyFill="1" applyBorder="1" applyAlignment="1"/>
    <xf numFmtId="4" fontId="5" fillId="0" borderId="15" xfId="0" applyNumberFormat="1" applyFont="1" applyFill="1" applyBorder="1" applyAlignment="1"/>
    <xf numFmtId="0" fontId="5" fillId="0" borderId="0" xfId="0" applyFont="1" applyFill="1" applyAlignment="1">
      <alignment horizontal="left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4" fontId="7" fillId="0" borderId="10" xfId="0" applyNumberFormat="1" applyFont="1" applyFill="1" applyBorder="1" applyAlignment="1">
      <alignment horizontal="right"/>
    </xf>
    <xf numFmtId="4" fontId="7" fillId="0" borderId="12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" fontId="9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5"/>
  <sheetViews>
    <sheetView tabSelected="1" topLeftCell="A58" workbookViewId="0">
      <selection activeCell="O82" sqref="O82"/>
    </sheetView>
  </sheetViews>
  <sheetFormatPr defaultRowHeight="15"/>
  <cols>
    <col min="1" max="1" width="5.28515625" style="1" customWidth="1"/>
    <col min="2" max="2" width="9.85546875" style="9" customWidth="1"/>
    <col min="3" max="3" width="10.7109375" style="9" customWidth="1"/>
    <col min="4" max="4" width="6.28515625" style="9" customWidth="1"/>
    <col min="5" max="5" width="7.7109375" style="9" customWidth="1"/>
    <col min="6" max="6" width="8.85546875" style="9" customWidth="1"/>
    <col min="7" max="7" width="13" style="9" customWidth="1"/>
    <col min="8" max="8" width="12" style="9" customWidth="1"/>
    <col min="9" max="9" width="9.28515625" style="9" customWidth="1"/>
    <col min="10" max="10" width="11.5703125" style="9" customWidth="1"/>
    <col min="11" max="11" width="10.28515625" style="9" customWidth="1"/>
    <col min="12" max="12" width="3.140625" style="9" customWidth="1"/>
  </cols>
  <sheetData>
    <row r="1" spans="1:12">
      <c r="B1" s="1"/>
      <c r="C1" s="1"/>
      <c r="D1" s="1"/>
      <c r="E1" s="1"/>
      <c r="F1" s="1"/>
      <c r="G1" s="1"/>
      <c r="H1" s="1"/>
      <c r="I1" s="1"/>
      <c r="J1" s="2"/>
      <c r="K1" s="3"/>
      <c r="L1" s="1"/>
    </row>
    <row r="2" spans="1:12" ht="18.7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8.75">
      <c r="A3" s="118" t="s">
        <v>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8.75">
      <c r="A4" s="4"/>
      <c r="B4" s="5"/>
      <c r="C4" s="6"/>
      <c r="D4" s="7" t="s">
        <v>2</v>
      </c>
      <c r="E4" s="5">
        <v>8</v>
      </c>
      <c r="F4" s="8" t="s">
        <v>3</v>
      </c>
      <c r="G4" s="8"/>
      <c r="H4" s="5"/>
      <c r="I4" s="5">
        <v>2013</v>
      </c>
      <c r="J4" s="8" t="s">
        <v>4</v>
      </c>
    </row>
    <row r="6" spans="1:12" ht="15.75">
      <c r="A6" s="10" t="s">
        <v>5</v>
      </c>
      <c r="B6" s="11">
        <f>I4</f>
        <v>2013</v>
      </c>
      <c r="C6" s="9" t="s">
        <v>6</v>
      </c>
      <c r="D6" s="12" t="s">
        <v>7</v>
      </c>
      <c r="E6" s="13">
        <v>2639.3</v>
      </c>
      <c r="F6" s="9" t="s">
        <v>8</v>
      </c>
    </row>
    <row r="7" spans="1:12" ht="15.75">
      <c r="A7" s="119">
        <v>1557020.55</v>
      </c>
      <c r="B7" s="119"/>
      <c r="C7" s="14" t="s">
        <v>9</v>
      </c>
      <c r="G7" s="15">
        <f>A7-J8</f>
        <v>1359241.1600000001</v>
      </c>
      <c r="H7" s="11" t="s">
        <v>10</v>
      </c>
      <c r="I7" s="16">
        <f>(G7/A7)*100</f>
        <v>87.297573561248115</v>
      </c>
      <c r="J7" s="9" t="s">
        <v>11</v>
      </c>
    </row>
    <row r="8" spans="1:12">
      <c r="A8" s="1" t="s">
        <v>12</v>
      </c>
      <c r="J8" s="17">
        <v>197779.39</v>
      </c>
      <c r="K8" s="9" t="s">
        <v>13</v>
      </c>
    </row>
    <row r="9" spans="1:12">
      <c r="A9" s="1" t="s">
        <v>14</v>
      </c>
    </row>
    <row r="10" spans="1:12">
      <c r="A10" s="1" t="s">
        <v>15</v>
      </c>
      <c r="B10" s="18">
        <v>28851.39</v>
      </c>
      <c r="C10" s="9" t="s">
        <v>16</v>
      </c>
      <c r="E10" s="19" t="s">
        <v>17</v>
      </c>
      <c r="F10" s="18">
        <v>28767.040000000001</v>
      </c>
      <c r="G10" s="9" t="s">
        <v>16</v>
      </c>
      <c r="I10" s="19"/>
      <c r="J10" s="18"/>
    </row>
    <row r="11" spans="1:12">
      <c r="A11" s="1" t="s">
        <v>18</v>
      </c>
      <c r="B11" s="18">
        <v>7352.02</v>
      </c>
      <c r="C11" s="9" t="s">
        <v>16</v>
      </c>
      <c r="E11" s="19" t="s">
        <v>19</v>
      </c>
      <c r="F11" s="18">
        <v>27281.98</v>
      </c>
      <c r="G11" s="9" t="s">
        <v>16</v>
      </c>
      <c r="I11" s="19"/>
      <c r="J11" s="18"/>
    </row>
    <row r="12" spans="1:12">
      <c r="A12" s="1" t="s">
        <v>20</v>
      </c>
      <c r="B12" s="18">
        <v>8738.44</v>
      </c>
      <c r="C12" s="9" t="s">
        <v>16</v>
      </c>
      <c r="E12" s="20" t="s">
        <v>21</v>
      </c>
      <c r="F12" s="18">
        <v>15093.91</v>
      </c>
      <c r="G12" s="9" t="s">
        <v>16</v>
      </c>
      <c r="I12" s="20"/>
      <c r="J12" s="18"/>
    </row>
    <row r="13" spans="1:12" ht="15.75">
      <c r="A13" s="1" t="s">
        <v>22</v>
      </c>
      <c r="J13" s="18">
        <f>G14+G15+G16+G17</f>
        <v>197779.39000000004</v>
      </c>
      <c r="K13" s="21" t="s">
        <v>23</v>
      </c>
    </row>
    <row r="14" spans="1:12">
      <c r="A14" s="22" t="s">
        <v>24</v>
      </c>
      <c r="B14" s="9" t="s">
        <v>25</v>
      </c>
      <c r="G14" s="17">
        <f>(J8*43.5/100)</f>
        <v>86034.034650000001</v>
      </c>
      <c r="H14" s="9" t="s">
        <v>16</v>
      </c>
    </row>
    <row r="15" spans="1:12">
      <c r="A15" s="22" t="s">
        <v>24</v>
      </c>
      <c r="B15" s="9" t="s">
        <v>26</v>
      </c>
      <c r="G15" s="17">
        <f>(J8*36.6/100)</f>
        <v>72387.256740000012</v>
      </c>
      <c r="H15" s="9" t="s">
        <v>16</v>
      </c>
    </row>
    <row r="16" spans="1:12">
      <c r="A16" s="22" t="s">
        <v>24</v>
      </c>
      <c r="B16" s="9" t="s">
        <v>27</v>
      </c>
      <c r="G16" s="17">
        <f>(J8*12.5/100)</f>
        <v>24722.423750000002</v>
      </c>
      <c r="H16" s="9" t="s">
        <v>16</v>
      </c>
      <c r="K16" s="14"/>
      <c r="L16" s="23"/>
    </row>
    <row r="17" spans="1:12">
      <c r="A17" s="22" t="s">
        <v>24</v>
      </c>
      <c r="B17" s="9" t="s">
        <v>28</v>
      </c>
      <c r="G17" s="17">
        <f>(J8*7.4/100)</f>
        <v>14635.674860000003</v>
      </c>
      <c r="H17" s="9" t="s">
        <v>16</v>
      </c>
    </row>
    <row r="18" spans="1:12">
      <c r="G18" s="24"/>
    </row>
    <row r="19" spans="1:12">
      <c r="A19" s="25" t="s">
        <v>29</v>
      </c>
      <c r="G19" s="17">
        <f>E6*4.74*12/1.03</f>
        <v>145750.85825242719</v>
      </c>
      <c r="H19" s="9" t="s">
        <v>30</v>
      </c>
    </row>
    <row r="20" spans="1:12" ht="15.75" thickBot="1">
      <c r="A20" s="120">
        <f>G19*I7/100</f>
        <v>127236.96269906311</v>
      </c>
      <c r="B20" s="120"/>
      <c r="C20" s="9" t="s">
        <v>31</v>
      </c>
    </row>
    <row r="21" spans="1:12">
      <c r="A21" s="26" t="s">
        <v>2</v>
      </c>
      <c r="B21" s="121" t="s">
        <v>32</v>
      </c>
      <c r="C21" s="122"/>
      <c r="D21" s="122"/>
      <c r="E21" s="122"/>
      <c r="F21" s="122"/>
      <c r="G21" s="122"/>
      <c r="H21" s="123"/>
      <c r="I21" s="27" t="s">
        <v>33</v>
      </c>
      <c r="J21" s="28" t="s">
        <v>34</v>
      </c>
      <c r="K21" s="121" t="s">
        <v>35</v>
      </c>
      <c r="L21" s="123"/>
    </row>
    <row r="22" spans="1:12" ht="15.75" thickBot="1">
      <c r="A22" s="29" t="s">
        <v>36</v>
      </c>
      <c r="B22" s="109"/>
      <c r="C22" s="110"/>
      <c r="D22" s="110"/>
      <c r="E22" s="110"/>
      <c r="F22" s="110"/>
      <c r="G22" s="110"/>
      <c r="H22" s="111"/>
      <c r="I22" s="30" t="s">
        <v>37</v>
      </c>
      <c r="J22" s="31"/>
      <c r="K22" s="112" t="s">
        <v>38</v>
      </c>
      <c r="L22" s="113"/>
    </row>
    <row r="23" spans="1:12" ht="15.75" thickBot="1">
      <c r="A23" s="32"/>
      <c r="B23" s="114" t="s">
        <v>39</v>
      </c>
      <c r="C23" s="115"/>
      <c r="D23" s="115"/>
      <c r="E23" s="115"/>
      <c r="F23" s="115"/>
      <c r="G23" s="115"/>
      <c r="H23" s="115"/>
      <c r="I23" s="33"/>
      <c r="J23" s="33"/>
      <c r="K23" s="116">
        <v>371257.33597757271</v>
      </c>
      <c r="L23" s="117"/>
    </row>
    <row r="24" spans="1:12">
      <c r="A24" s="34">
        <v>1</v>
      </c>
      <c r="B24" s="97" t="s">
        <v>40</v>
      </c>
      <c r="C24" s="98"/>
      <c r="D24" s="98"/>
      <c r="E24" s="98"/>
      <c r="F24" s="98"/>
      <c r="G24" s="98"/>
      <c r="H24" s="99"/>
      <c r="I24" s="35" t="s">
        <v>41</v>
      </c>
      <c r="J24" s="35">
        <v>1</v>
      </c>
      <c r="K24" s="104">
        <v>1092</v>
      </c>
      <c r="L24" s="105"/>
    </row>
    <row r="25" spans="1:12">
      <c r="A25" s="34">
        <v>2</v>
      </c>
      <c r="B25" s="97" t="s">
        <v>42</v>
      </c>
      <c r="C25" s="108"/>
      <c r="D25" s="108"/>
      <c r="E25" s="108"/>
      <c r="F25" s="108"/>
      <c r="G25" s="108"/>
      <c r="H25" s="98"/>
      <c r="I25" s="35" t="s">
        <v>41</v>
      </c>
      <c r="J25" s="35">
        <v>2</v>
      </c>
      <c r="K25" s="104">
        <f>10000/19200.7*2653.3</f>
        <v>1381.8767024118913</v>
      </c>
      <c r="L25" s="105"/>
    </row>
    <row r="26" spans="1:12">
      <c r="A26" s="34">
        <v>3</v>
      </c>
      <c r="B26" s="97" t="s">
        <v>43</v>
      </c>
      <c r="C26" s="98"/>
      <c r="D26" s="98"/>
      <c r="E26" s="98"/>
      <c r="F26" s="98"/>
      <c r="G26" s="98"/>
      <c r="H26" s="99"/>
      <c r="I26" s="35" t="s">
        <v>41</v>
      </c>
      <c r="J26" s="35">
        <v>9</v>
      </c>
      <c r="K26" s="104">
        <v>110</v>
      </c>
      <c r="L26" s="105"/>
    </row>
    <row r="27" spans="1:12">
      <c r="A27" s="34">
        <v>4</v>
      </c>
      <c r="B27" s="97" t="s">
        <v>44</v>
      </c>
      <c r="C27" s="108"/>
      <c r="D27" s="108"/>
      <c r="E27" s="108"/>
      <c r="F27" s="108"/>
      <c r="G27" s="108"/>
      <c r="H27" s="98"/>
      <c r="I27" s="36" t="s">
        <v>45</v>
      </c>
      <c r="J27" s="35">
        <v>73</v>
      </c>
      <c r="K27" s="104">
        <v>21190</v>
      </c>
      <c r="L27" s="105"/>
    </row>
    <row r="28" spans="1:12">
      <c r="A28" s="34">
        <v>5</v>
      </c>
      <c r="B28" s="97" t="s">
        <v>46</v>
      </c>
      <c r="C28" s="108"/>
      <c r="D28" s="108"/>
      <c r="E28" s="108"/>
      <c r="F28" s="108"/>
      <c r="G28" s="108"/>
      <c r="H28" s="98"/>
      <c r="I28" s="35" t="s">
        <v>41</v>
      </c>
      <c r="J28" s="35">
        <v>1</v>
      </c>
      <c r="K28" s="104">
        <v>6320</v>
      </c>
      <c r="L28" s="105"/>
    </row>
    <row r="29" spans="1:12">
      <c r="A29" s="34">
        <v>6</v>
      </c>
      <c r="B29" s="97" t="s">
        <v>47</v>
      </c>
      <c r="C29" s="108"/>
      <c r="D29" s="108"/>
      <c r="E29" s="108"/>
      <c r="F29" s="108"/>
      <c r="G29" s="108"/>
      <c r="H29" s="98"/>
      <c r="I29" s="36" t="s">
        <v>45</v>
      </c>
      <c r="J29" s="35">
        <v>65.5</v>
      </c>
      <c r="K29" s="104">
        <v>14920</v>
      </c>
      <c r="L29" s="105"/>
    </row>
    <row r="30" spans="1:12">
      <c r="A30" s="34">
        <v>7</v>
      </c>
      <c r="B30" s="97" t="s">
        <v>48</v>
      </c>
      <c r="C30" s="98"/>
      <c r="D30" s="98"/>
      <c r="E30" s="98"/>
      <c r="F30" s="98"/>
      <c r="G30" s="98"/>
      <c r="H30" s="98"/>
      <c r="I30" s="35" t="s">
        <v>41</v>
      </c>
      <c r="J30" s="35">
        <v>2</v>
      </c>
      <c r="K30" s="104">
        <v>7681</v>
      </c>
      <c r="L30" s="105"/>
    </row>
    <row r="31" spans="1:12">
      <c r="A31" s="34">
        <v>8</v>
      </c>
      <c r="B31" s="97" t="s">
        <v>49</v>
      </c>
      <c r="C31" s="108"/>
      <c r="D31" s="108"/>
      <c r="E31" s="108"/>
      <c r="F31" s="108"/>
      <c r="G31" s="108"/>
      <c r="H31" s="98"/>
      <c r="I31" s="36" t="s">
        <v>45</v>
      </c>
      <c r="J31" s="37">
        <v>521</v>
      </c>
      <c r="K31" s="100">
        <v>8000</v>
      </c>
      <c r="L31" s="101"/>
    </row>
    <row r="32" spans="1:12">
      <c r="A32" s="34">
        <v>9</v>
      </c>
      <c r="B32" s="97" t="s">
        <v>50</v>
      </c>
      <c r="C32" s="108"/>
      <c r="D32" s="108"/>
      <c r="E32" s="108"/>
      <c r="F32" s="108"/>
      <c r="G32" s="108"/>
      <c r="H32" s="98"/>
      <c r="I32" s="35" t="s">
        <v>41</v>
      </c>
      <c r="J32" s="36">
        <v>1</v>
      </c>
      <c r="K32" s="104">
        <v>4233.33</v>
      </c>
      <c r="L32" s="105"/>
    </row>
    <row r="33" spans="1:12">
      <c r="A33" s="34">
        <v>10</v>
      </c>
      <c r="B33" s="97" t="s">
        <v>51</v>
      </c>
      <c r="C33" s="98"/>
      <c r="D33" s="98"/>
      <c r="E33" s="98"/>
      <c r="F33" s="98"/>
      <c r="G33" s="98"/>
      <c r="H33" s="98"/>
      <c r="I33" s="36" t="s">
        <v>52</v>
      </c>
      <c r="J33" s="35">
        <v>6</v>
      </c>
      <c r="K33" s="104">
        <f>50100/19200.7*2653.3</f>
        <v>6923.2022790835754</v>
      </c>
      <c r="L33" s="105"/>
    </row>
    <row r="34" spans="1:12">
      <c r="A34" s="34">
        <v>11</v>
      </c>
      <c r="B34" s="38" t="s">
        <v>53</v>
      </c>
      <c r="C34" s="39"/>
      <c r="D34" s="39"/>
      <c r="E34" s="39"/>
      <c r="F34" s="39"/>
      <c r="G34" s="39"/>
      <c r="H34" s="39"/>
      <c r="I34" s="36" t="s">
        <v>41</v>
      </c>
      <c r="J34" s="40">
        <v>1</v>
      </c>
      <c r="K34" s="104">
        <v>7454.5</v>
      </c>
      <c r="L34" s="105"/>
    </row>
    <row r="35" spans="1:12">
      <c r="A35" s="34">
        <v>12</v>
      </c>
      <c r="B35" s="97" t="s">
        <v>54</v>
      </c>
      <c r="C35" s="98"/>
      <c r="D35" s="98"/>
      <c r="E35" s="98"/>
      <c r="F35" s="98"/>
      <c r="G35" s="98"/>
      <c r="H35" s="98"/>
      <c r="I35" s="36" t="s">
        <v>41</v>
      </c>
      <c r="J35" s="35">
        <v>1</v>
      </c>
      <c r="K35" s="104">
        <v>7050</v>
      </c>
      <c r="L35" s="105"/>
    </row>
    <row r="36" spans="1:12">
      <c r="A36" s="34">
        <v>13</v>
      </c>
      <c r="B36" s="97" t="s">
        <v>55</v>
      </c>
      <c r="C36" s="98"/>
      <c r="D36" s="98"/>
      <c r="E36" s="98"/>
      <c r="F36" s="98"/>
      <c r="G36" s="98"/>
      <c r="H36" s="98"/>
      <c r="I36" s="36" t="s">
        <v>45</v>
      </c>
      <c r="J36" s="35">
        <v>17</v>
      </c>
      <c r="K36" s="104">
        <f>5260+2450</f>
        <v>7710</v>
      </c>
      <c r="L36" s="105"/>
    </row>
    <row r="37" spans="1:12">
      <c r="A37" s="34">
        <v>14</v>
      </c>
      <c r="B37" s="97" t="s">
        <v>56</v>
      </c>
      <c r="C37" s="98"/>
      <c r="D37" s="98"/>
      <c r="E37" s="98"/>
      <c r="F37" s="98"/>
      <c r="G37" s="98"/>
      <c r="H37" s="98"/>
      <c r="I37" s="36" t="s">
        <v>45</v>
      </c>
      <c r="J37" s="37">
        <v>313</v>
      </c>
      <c r="K37" s="104">
        <v>1000</v>
      </c>
      <c r="L37" s="105"/>
    </row>
    <row r="38" spans="1:12">
      <c r="A38" s="34">
        <v>15</v>
      </c>
      <c r="B38" s="97" t="s">
        <v>57</v>
      </c>
      <c r="C38" s="98"/>
      <c r="D38" s="98"/>
      <c r="E38" s="98"/>
      <c r="F38" s="98"/>
      <c r="G38" s="98"/>
      <c r="H38" s="99"/>
      <c r="I38" s="35" t="s">
        <v>41</v>
      </c>
      <c r="J38" s="35">
        <v>4</v>
      </c>
      <c r="K38" s="104">
        <f>4*319.2*0.5</f>
        <v>638.4</v>
      </c>
      <c r="L38" s="105"/>
    </row>
    <row r="39" spans="1:12">
      <c r="A39" s="34">
        <v>16</v>
      </c>
      <c r="B39" s="97" t="s">
        <v>58</v>
      </c>
      <c r="C39" s="98"/>
      <c r="D39" s="98"/>
      <c r="E39" s="98"/>
      <c r="F39" s="98"/>
      <c r="G39" s="98"/>
      <c r="H39" s="99"/>
      <c r="I39" s="35" t="s">
        <v>41</v>
      </c>
      <c r="J39" s="35">
        <v>4</v>
      </c>
      <c r="K39" s="104">
        <f>4*116.8*0.5</f>
        <v>233.6</v>
      </c>
      <c r="L39" s="105"/>
    </row>
    <row r="40" spans="1:12">
      <c r="A40" s="34">
        <v>17</v>
      </c>
      <c r="B40" s="97" t="s">
        <v>59</v>
      </c>
      <c r="C40" s="98"/>
      <c r="D40" s="98"/>
      <c r="E40" s="98"/>
      <c r="F40" s="98"/>
      <c r="G40" s="98"/>
      <c r="H40" s="98"/>
      <c r="I40" s="35" t="s">
        <v>41</v>
      </c>
      <c r="J40" s="35">
        <v>20</v>
      </c>
      <c r="K40" s="104">
        <v>3251</v>
      </c>
      <c r="L40" s="105"/>
    </row>
    <row r="41" spans="1:12">
      <c r="A41" s="34">
        <v>18</v>
      </c>
      <c r="B41" s="97" t="s">
        <v>60</v>
      </c>
      <c r="C41" s="98"/>
      <c r="D41" s="98"/>
      <c r="E41" s="98"/>
      <c r="F41" s="98"/>
      <c r="G41" s="98"/>
      <c r="H41" s="99"/>
      <c r="I41" s="41" t="s">
        <v>61</v>
      </c>
      <c r="J41" s="35">
        <v>10</v>
      </c>
      <c r="K41" s="104">
        <f>7000*0.076</f>
        <v>532</v>
      </c>
      <c r="L41" s="105"/>
    </row>
    <row r="42" spans="1:12">
      <c r="A42" s="34">
        <v>19</v>
      </c>
      <c r="B42" s="97" t="s">
        <v>62</v>
      </c>
      <c r="C42" s="98"/>
      <c r="D42" s="98"/>
      <c r="E42" s="98"/>
      <c r="F42" s="98"/>
      <c r="G42" s="98"/>
      <c r="H42" s="99"/>
      <c r="I42" s="41" t="s">
        <v>61</v>
      </c>
      <c r="J42" s="35">
        <v>10</v>
      </c>
      <c r="K42" s="104">
        <f>6000*0.076</f>
        <v>456</v>
      </c>
      <c r="L42" s="105"/>
    </row>
    <row r="43" spans="1:12">
      <c r="A43" s="34">
        <v>20</v>
      </c>
      <c r="B43" s="97" t="s">
        <v>63</v>
      </c>
      <c r="C43" s="98"/>
      <c r="D43" s="98"/>
      <c r="E43" s="98"/>
      <c r="F43" s="98"/>
      <c r="G43" s="98"/>
      <c r="H43" s="98"/>
      <c r="I43" s="35" t="s">
        <v>41</v>
      </c>
      <c r="J43" s="35">
        <v>1</v>
      </c>
      <c r="K43" s="104">
        <f>14980*0.5</f>
        <v>7490</v>
      </c>
      <c r="L43" s="105"/>
    </row>
    <row r="44" spans="1:12">
      <c r="A44" s="34">
        <v>21</v>
      </c>
      <c r="B44" s="97" t="s">
        <v>64</v>
      </c>
      <c r="C44" s="98"/>
      <c r="D44" s="98"/>
      <c r="E44" s="98"/>
      <c r="F44" s="98"/>
      <c r="G44" s="98"/>
      <c r="H44" s="98"/>
      <c r="I44" s="42" t="s">
        <v>65</v>
      </c>
      <c r="J44" s="34">
        <v>20</v>
      </c>
      <c r="K44" s="104">
        <f>13000*0.1382</f>
        <v>1796.6</v>
      </c>
      <c r="L44" s="105"/>
    </row>
    <row r="45" spans="1:12">
      <c r="A45" s="34">
        <v>22</v>
      </c>
      <c r="B45" s="97" t="s">
        <v>66</v>
      </c>
      <c r="C45" s="98"/>
      <c r="D45" s="98"/>
      <c r="E45" s="98"/>
      <c r="F45" s="98"/>
      <c r="G45" s="98"/>
      <c r="H45" s="98"/>
      <c r="I45" s="35" t="s">
        <v>67</v>
      </c>
      <c r="J45" s="35">
        <v>80</v>
      </c>
      <c r="K45" s="104">
        <f>82+60+420</f>
        <v>562</v>
      </c>
      <c r="L45" s="105"/>
    </row>
    <row r="46" spans="1:12">
      <c r="A46" s="34">
        <v>23</v>
      </c>
      <c r="B46" s="97" t="s">
        <v>68</v>
      </c>
      <c r="C46" s="98"/>
      <c r="D46" s="98"/>
      <c r="E46" s="98"/>
      <c r="F46" s="98"/>
      <c r="G46" s="98"/>
      <c r="H46" s="99"/>
      <c r="I46" s="43" t="s">
        <v>41</v>
      </c>
      <c r="J46" s="35">
        <v>1</v>
      </c>
      <c r="K46" s="104">
        <f>(2000+9000)/9</f>
        <v>1222.2222222222222</v>
      </c>
      <c r="L46" s="105"/>
    </row>
    <row r="47" spans="1:12">
      <c r="A47" s="34">
        <v>24</v>
      </c>
      <c r="B47" s="97" t="s">
        <v>69</v>
      </c>
      <c r="C47" s="98"/>
      <c r="D47" s="98"/>
      <c r="E47" s="98"/>
      <c r="F47" s="98"/>
      <c r="G47" s="98"/>
      <c r="H47" s="98"/>
      <c r="I47" s="36" t="s">
        <v>45</v>
      </c>
      <c r="J47" s="35">
        <v>3</v>
      </c>
      <c r="K47" s="104">
        <f>12920/2</f>
        <v>6460</v>
      </c>
      <c r="L47" s="105"/>
    </row>
    <row r="48" spans="1:12">
      <c r="A48" s="34">
        <v>25</v>
      </c>
      <c r="B48" s="97" t="s">
        <v>70</v>
      </c>
      <c r="C48" s="98"/>
      <c r="D48" s="98"/>
      <c r="E48" s="98"/>
      <c r="F48" s="98"/>
      <c r="G48" s="98"/>
      <c r="H48" s="99"/>
      <c r="I48" s="35" t="s">
        <v>41</v>
      </c>
      <c r="J48" s="35">
        <v>1</v>
      </c>
      <c r="K48" s="104">
        <v>560</v>
      </c>
      <c r="L48" s="105"/>
    </row>
    <row r="49" spans="1:12">
      <c r="A49" s="34">
        <v>26</v>
      </c>
      <c r="B49" s="97" t="s">
        <v>71</v>
      </c>
      <c r="C49" s="98"/>
      <c r="D49" s="98"/>
      <c r="E49" s="98"/>
      <c r="F49" s="98"/>
      <c r="G49" s="98"/>
      <c r="H49" s="98"/>
      <c r="I49" s="35" t="s">
        <v>41</v>
      </c>
      <c r="J49" s="35">
        <v>1</v>
      </c>
      <c r="K49" s="104">
        <f>2969*0.0993</f>
        <v>294.82170000000002</v>
      </c>
      <c r="L49" s="105"/>
    </row>
    <row r="50" spans="1:12">
      <c r="A50" s="34">
        <v>27</v>
      </c>
      <c r="B50" s="97" t="s">
        <v>72</v>
      </c>
      <c r="C50" s="98"/>
      <c r="D50" s="98"/>
      <c r="E50" s="98"/>
      <c r="F50" s="98"/>
      <c r="G50" s="98"/>
      <c r="H50" s="98"/>
      <c r="I50" s="35" t="s">
        <v>45</v>
      </c>
      <c r="J50" s="37">
        <v>313</v>
      </c>
      <c r="K50" s="104">
        <f>2400+260</f>
        <v>2660</v>
      </c>
      <c r="L50" s="105"/>
    </row>
    <row r="51" spans="1:12">
      <c r="A51" s="34">
        <v>28</v>
      </c>
      <c r="B51" s="38" t="s">
        <v>73</v>
      </c>
      <c r="C51" s="39"/>
      <c r="D51" s="39"/>
      <c r="E51" s="39"/>
      <c r="F51" s="39"/>
      <c r="G51" s="39"/>
      <c r="H51" s="39"/>
      <c r="I51" s="40" t="s">
        <v>41</v>
      </c>
      <c r="J51" s="35">
        <v>2</v>
      </c>
      <c r="K51" s="104">
        <f>12000*13.8%</f>
        <v>1656.0000000000002</v>
      </c>
      <c r="L51" s="105"/>
    </row>
    <row r="52" spans="1:12">
      <c r="A52" s="34">
        <v>29</v>
      </c>
      <c r="B52" s="97" t="s">
        <v>74</v>
      </c>
      <c r="C52" s="98"/>
      <c r="D52" s="98"/>
      <c r="E52" s="98"/>
      <c r="F52" s="98"/>
      <c r="G52" s="98"/>
      <c r="H52" s="99"/>
      <c r="I52" s="35" t="s">
        <v>41</v>
      </c>
      <c r="J52" s="35">
        <f>17+1</f>
        <v>18</v>
      </c>
      <c r="K52" s="106">
        <f>4200+69.4</f>
        <v>4269.3999999999996</v>
      </c>
      <c r="L52" s="107"/>
    </row>
    <row r="53" spans="1:12">
      <c r="A53" s="34">
        <v>30</v>
      </c>
      <c r="B53" s="97" t="s">
        <v>75</v>
      </c>
      <c r="C53" s="98"/>
      <c r="D53" s="98"/>
      <c r="E53" s="98"/>
      <c r="F53" s="98"/>
      <c r="G53" s="98"/>
      <c r="H53" s="98"/>
      <c r="I53" s="35" t="s">
        <v>41</v>
      </c>
      <c r="J53" s="35">
        <v>1</v>
      </c>
      <c r="K53" s="104">
        <v>2900</v>
      </c>
      <c r="L53" s="105"/>
    </row>
    <row r="54" spans="1:12">
      <c r="A54" s="34">
        <v>31</v>
      </c>
      <c r="B54" s="97" t="s">
        <v>76</v>
      </c>
      <c r="C54" s="98"/>
      <c r="D54" s="98"/>
      <c r="E54" s="98"/>
      <c r="F54" s="98"/>
      <c r="G54" s="98"/>
      <c r="H54" s="99"/>
      <c r="I54" s="35" t="s">
        <v>41</v>
      </c>
      <c r="J54" s="35">
        <v>1</v>
      </c>
      <c r="K54" s="104">
        <f>11280.02/3</f>
        <v>3760.0066666666667</v>
      </c>
      <c r="L54" s="105"/>
    </row>
    <row r="55" spans="1:12">
      <c r="A55" s="34">
        <v>32</v>
      </c>
      <c r="B55" s="97" t="s">
        <v>77</v>
      </c>
      <c r="C55" s="98"/>
      <c r="D55" s="98"/>
      <c r="E55" s="98"/>
      <c r="F55" s="98"/>
      <c r="G55" s="98"/>
      <c r="H55" s="99"/>
      <c r="I55" s="35" t="s">
        <v>41</v>
      </c>
      <c r="J55" s="35">
        <v>9</v>
      </c>
      <c r="K55" s="104">
        <f>12740+14000</f>
        <v>26740</v>
      </c>
      <c r="L55" s="105"/>
    </row>
    <row r="56" spans="1:12">
      <c r="A56" s="34">
        <v>33</v>
      </c>
      <c r="B56" s="97" t="s">
        <v>78</v>
      </c>
      <c r="C56" s="98"/>
      <c r="D56" s="98"/>
      <c r="E56" s="98"/>
      <c r="F56" s="98"/>
      <c r="G56" s="98"/>
      <c r="H56" s="99"/>
      <c r="I56" s="40" t="s">
        <v>41</v>
      </c>
      <c r="J56" s="35">
        <v>1</v>
      </c>
      <c r="K56" s="104">
        <v>196.25</v>
      </c>
      <c r="L56" s="105"/>
    </row>
    <row r="57" spans="1:12">
      <c r="A57" s="34">
        <v>34</v>
      </c>
      <c r="B57" s="97" t="s">
        <v>79</v>
      </c>
      <c r="C57" s="98"/>
      <c r="D57" s="98"/>
      <c r="E57" s="98"/>
      <c r="F57" s="98"/>
      <c r="G57" s="98"/>
      <c r="H57" s="99"/>
      <c r="I57" s="40" t="s">
        <v>41</v>
      </c>
      <c r="J57" s="35">
        <v>1</v>
      </c>
      <c r="K57" s="104">
        <f>8439/5</f>
        <v>1687.8</v>
      </c>
      <c r="L57" s="105"/>
    </row>
    <row r="58" spans="1:12">
      <c r="A58" s="34">
        <v>35</v>
      </c>
      <c r="B58" s="97" t="s">
        <v>80</v>
      </c>
      <c r="C58" s="98"/>
      <c r="D58" s="98"/>
      <c r="E58" s="98"/>
      <c r="F58" s="98"/>
      <c r="G58" s="98"/>
      <c r="H58" s="99"/>
      <c r="I58" s="35" t="s">
        <v>41</v>
      </c>
      <c r="J58" s="35">
        <v>1</v>
      </c>
      <c r="K58" s="104">
        <f>1700+2669.4</f>
        <v>4369.3999999999996</v>
      </c>
      <c r="L58" s="105"/>
    </row>
    <row r="59" spans="1:12">
      <c r="A59" s="34">
        <v>36</v>
      </c>
      <c r="B59" s="97" t="s">
        <v>81</v>
      </c>
      <c r="C59" s="98"/>
      <c r="D59" s="98"/>
      <c r="E59" s="98"/>
      <c r="F59" s="98"/>
      <c r="G59" s="98"/>
      <c r="H59" s="99"/>
      <c r="I59" s="40" t="s">
        <v>41</v>
      </c>
      <c r="J59" s="35">
        <v>1</v>
      </c>
      <c r="K59" s="104">
        <f>1610/9</f>
        <v>178.88888888888889</v>
      </c>
      <c r="L59" s="105"/>
    </row>
    <row r="60" spans="1:12">
      <c r="A60" s="34">
        <v>37</v>
      </c>
      <c r="B60" s="97" t="s">
        <v>82</v>
      </c>
      <c r="C60" s="98"/>
      <c r="D60" s="98"/>
      <c r="E60" s="98"/>
      <c r="F60" s="98"/>
      <c r="G60" s="98"/>
      <c r="H60" s="99"/>
      <c r="I60" s="35" t="s">
        <v>41</v>
      </c>
      <c r="J60" s="35">
        <v>1</v>
      </c>
      <c r="K60" s="104">
        <f>7862*0.5</f>
        <v>3931</v>
      </c>
      <c r="L60" s="105"/>
    </row>
    <row r="61" spans="1:12">
      <c r="A61" s="34">
        <v>38</v>
      </c>
      <c r="B61" s="97" t="s">
        <v>83</v>
      </c>
      <c r="C61" s="98"/>
      <c r="D61" s="98"/>
      <c r="E61" s="98"/>
      <c r="F61" s="98"/>
      <c r="G61" s="98"/>
      <c r="H61" s="99"/>
      <c r="I61" s="35" t="s">
        <v>41</v>
      </c>
      <c r="J61" s="35">
        <v>1</v>
      </c>
      <c r="K61" s="104">
        <f>4577*0.5</f>
        <v>2288.5</v>
      </c>
      <c r="L61" s="105"/>
    </row>
    <row r="62" spans="1:12">
      <c r="A62" s="34">
        <v>39</v>
      </c>
      <c r="B62" s="97" t="s">
        <v>84</v>
      </c>
      <c r="C62" s="98"/>
      <c r="D62" s="98"/>
      <c r="E62" s="98"/>
      <c r="F62" s="98"/>
      <c r="G62" s="98"/>
      <c r="H62" s="98"/>
      <c r="I62" s="35" t="s">
        <v>41</v>
      </c>
      <c r="J62" s="35">
        <v>1</v>
      </c>
      <c r="K62" s="100">
        <v>6500</v>
      </c>
      <c r="L62" s="101"/>
    </row>
    <row r="63" spans="1:12">
      <c r="A63" s="34">
        <v>40</v>
      </c>
      <c r="B63" s="77" t="s">
        <v>85</v>
      </c>
      <c r="C63" s="72"/>
      <c r="D63" s="72"/>
      <c r="E63" s="72"/>
      <c r="F63" s="72"/>
      <c r="G63" s="72"/>
      <c r="H63" s="73"/>
      <c r="I63" s="44" t="s">
        <v>86</v>
      </c>
      <c r="J63" s="45">
        <v>12</v>
      </c>
      <c r="K63" s="95">
        <f>1250/2*12</f>
        <v>7500</v>
      </c>
      <c r="L63" s="96"/>
    </row>
    <row r="64" spans="1:12">
      <c r="A64" s="34">
        <v>41</v>
      </c>
      <c r="B64" s="97" t="s">
        <v>87</v>
      </c>
      <c r="C64" s="98"/>
      <c r="D64" s="98"/>
      <c r="E64" s="98"/>
      <c r="F64" s="98"/>
      <c r="G64" s="98"/>
      <c r="H64" s="99"/>
      <c r="I64" s="35" t="s">
        <v>41</v>
      </c>
      <c r="J64" s="35">
        <v>1</v>
      </c>
      <c r="K64" s="100">
        <f>7796/9</f>
        <v>866.22222222222217</v>
      </c>
      <c r="L64" s="101"/>
    </row>
    <row r="65" spans="1:12">
      <c r="A65" s="34"/>
      <c r="B65" s="77" t="s">
        <v>88</v>
      </c>
      <c r="C65" s="72"/>
      <c r="D65" s="72"/>
      <c r="E65" s="72"/>
      <c r="F65" s="72"/>
      <c r="G65" s="72"/>
      <c r="H65" s="72"/>
      <c r="I65" s="34"/>
      <c r="J65" s="46"/>
      <c r="K65" s="102">
        <f>SUM(K24:L64)</f>
        <v>188066.02068149543</v>
      </c>
      <c r="L65" s="103"/>
    </row>
    <row r="66" spans="1:12">
      <c r="A66" s="34"/>
      <c r="B66" s="77" t="s">
        <v>89</v>
      </c>
      <c r="C66" s="72"/>
      <c r="D66" s="72"/>
      <c r="E66" s="72"/>
      <c r="F66" s="72"/>
      <c r="G66" s="72"/>
      <c r="H66" s="72"/>
      <c r="I66" s="34"/>
      <c r="J66" s="46"/>
      <c r="K66" s="86">
        <f>K65*0.14</f>
        <v>26329.242895409363</v>
      </c>
      <c r="L66" s="87"/>
    </row>
    <row r="67" spans="1:12" ht="15.75" thickBot="1">
      <c r="A67" s="34"/>
      <c r="B67" s="1" t="s">
        <v>90</v>
      </c>
      <c r="C67" s="1"/>
      <c r="D67" s="1"/>
      <c r="E67" s="1"/>
      <c r="F67" s="1"/>
      <c r="G67" s="1"/>
      <c r="H67" s="1"/>
      <c r="I67" s="47"/>
      <c r="J67" s="1"/>
      <c r="K67" s="88">
        <f>SUM(K65:L66)</f>
        <v>214395.26357690478</v>
      </c>
      <c r="L67" s="89"/>
    </row>
    <row r="68" spans="1:12" ht="16.5" thickBot="1">
      <c r="A68" s="32"/>
      <c r="B68" s="48" t="s">
        <v>91</v>
      </c>
      <c r="C68" s="49"/>
      <c r="D68" s="49"/>
      <c r="E68" s="49"/>
      <c r="F68" s="49"/>
      <c r="G68" s="49"/>
      <c r="H68" s="50"/>
      <c r="I68" s="32"/>
      <c r="J68" s="32"/>
      <c r="K68" s="90">
        <f>K67+K23</f>
        <v>585652.59955447749</v>
      </c>
      <c r="L68" s="91"/>
    </row>
    <row r="69" spans="1:12">
      <c r="A69" s="1" t="s">
        <v>92</v>
      </c>
    </row>
    <row r="70" spans="1:12">
      <c r="A70" s="1" t="s">
        <v>93</v>
      </c>
      <c r="D70" s="11">
        <f>I4</f>
        <v>2013</v>
      </c>
      <c r="E70" s="9" t="s">
        <v>94</v>
      </c>
      <c r="G70" s="13">
        <f>K68-G19</f>
        <v>439901.7413020503</v>
      </c>
      <c r="H70" s="9" t="s">
        <v>95</v>
      </c>
    </row>
    <row r="71" spans="1:12" ht="15.75" thickBot="1">
      <c r="A71" s="1" t="s">
        <v>96</v>
      </c>
      <c r="B71" s="11">
        <f>I4</f>
        <v>2013</v>
      </c>
      <c r="C71" s="9" t="s">
        <v>97</v>
      </c>
    </row>
    <row r="72" spans="1:12">
      <c r="A72" s="51" t="s">
        <v>2</v>
      </c>
      <c r="B72" s="92" t="s">
        <v>98</v>
      </c>
      <c r="C72" s="93"/>
      <c r="D72" s="93"/>
      <c r="E72" s="93"/>
      <c r="F72" s="92" t="s">
        <v>99</v>
      </c>
      <c r="G72" s="93"/>
      <c r="H72" s="94"/>
      <c r="I72" s="92" t="s">
        <v>100</v>
      </c>
      <c r="J72" s="93"/>
      <c r="K72" s="93"/>
      <c r="L72" s="94"/>
    </row>
    <row r="73" spans="1:12" ht="15.75" thickBot="1">
      <c r="A73" s="52"/>
      <c r="B73" s="78"/>
      <c r="C73" s="79"/>
      <c r="D73" s="79"/>
      <c r="E73" s="79"/>
      <c r="F73" s="78"/>
      <c r="G73" s="79"/>
      <c r="H73" s="80"/>
      <c r="I73" s="78" t="s">
        <v>101</v>
      </c>
      <c r="J73" s="79"/>
      <c r="K73" s="79"/>
      <c r="L73" s="80"/>
    </row>
    <row r="74" spans="1:12">
      <c r="A74" s="53" t="s">
        <v>102</v>
      </c>
      <c r="B74" s="81" t="s">
        <v>103</v>
      </c>
      <c r="C74" s="81"/>
      <c r="D74" s="81"/>
      <c r="E74" s="82"/>
      <c r="F74" s="83" t="s">
        <v>104</v>
      </c>
      <c r="G74" s="84"/>
      <c r="H74" s="85"/>
      <c r="I74" s="83" t="s">
        <v>105</v>
      </c>
      <c r="J74" s="84"/>
      <c r="K74" s="84"/>
      <c r="L74" s="85"/>
    </row>
    <row r="75" spans="1:12">
      <c r="A75" s="34" t="s">
        <v>106</v>
      </c>
      <c r="B75" s="72" t="s">
        <v>107</v>
      </c>
      <c r="C75" s="72"/>
      <c r="D75" s="72"/>
      <c r="E75" s="73"/>
      <c r="F75" s="74" t="s">
        <v>108</v>
      </c>
      <c r="G75" s="75"/>
      <c r="H75" s="76"/>
      <c r="I75" s="74" t="s">
        <v>109</v>
      </c>
      <c r="J75" s="75"/>
      <c r="K75" s="75"/>
      <c r="L75" s="76"/>
    </row>
    <row r="76" spans="1:12">
      <c r="A76" s="34" t="s">
        <v>110</v>
      </c>
      <c r="B76" s="77" t="s">
        <v>111</v>
      </c>
      <c r="C76" s="72"/>
      <c r="D76" s="72"/>
      <c r="E76" s="73"/>
      <c r="F76" s="74" t="s">
        <v>112</v>
      </c>
      <c r="G76" s="75"/>
      <c r="H76" s="76"/>
      <c r="I76" s="74" t="s">
        <v>113</v>
      </c>
      <c r="J76" s="75"/>
      <c r="K76" s="75"/>
      <c r="L76" s="76"/>
    </row>
    <row r="77" spans="1:12">
      <c r="A77" s="34" t="s">
        <v>114</v>
      </c>
      <c r="B77" s="72" t="s">
        <v>115</v>
      </c>
      <c r="C77" s="72"/>
      <c r="D77" s="72"/>
      <c r="E77" s="73"/>
      <c r="F77" s="74" t="s">
        <v>116</v>
      </c>
      <c r="G77" s="75"/>
      <c r="H77" s="76"/>
      <c r="I77" s="74" t="s">
        <v>117</v>
      </c>
      <c r="J77" s="75"/>
      <c r="K77" s="75"/>
      <c r="L77" s="76"/>
    </row>
    <row r="78" spans="1:12">
      <c r="A78" s="34" t="s">
        <v>118</v>
      </c>
      <c r="B78" s="72" t="s">
        <v>119</v>
      </c>
      <c r="C78" s="72"/>
      <c r="D78" s="72"/>
      <c r="E78" s="73"/>
      <c r="F78" s="74" t="s">
        <v>120</v>
      </c>
      <c r="G78" s="75"/>
      <c r="H78" s="76"/>
      <c r="I78" s="74" t="s">
        <v>121</v>
      </c>
      <c r="J78" s="75"/>
      <c r="K78" s="75"/>
      <c r="L78" s="76"/>
    </row>
    <row r="79" spans="1:12" ht="15.75" thickBot="1">
      <c r="A79" s="54" t="s">
        <v>122</v>
      </c>
      <c r="B79" s="65" t="s">
        <v>123</v>
      </c>
      <c r="C79" s="65"/>
      <c r="D79" s="65"/>
      <c r="E79" s="66"/>
      <c r="F79" s="67" t="s">
        <v>124</v>
      </c>
      <c r="G79" s="68"/>
      <c r="H79" s="69"/>
      <c r="I79" s="67" t="s">
        <v>125</v>
      </c>
      <c r="J79" s="68"/>
      <c r="K79" s="68"/>
      <c r="L79" s="69"/>
    </row>
    <row r="81" spans="1:11">
      <c r="A81" s="55" t="s">
        <v>126</v>
      </c>
      <c r="B81" s="11">
        <v>2013</v>
      </c>
      <c r="C81" s="9" t="s">
        <v>127</v>
      </c>
    </row>
    <row r="82" spans="1:11">
      <c r="A82" s="56" t="s">
        <v>128</v>
      </c>
    </row>
    <row r="83" spans="1:11">
      <c r="A83" s="56" t="s">
        <v>129</v>
      </c>
      <c r="F83" s="57">
        <f>H102</f>
        <v>16.042818844076404</v>
      </c>
      <c r="G83" s="9" t="s">
        <v>130</v>
      </c>
    </row>
    <row r="84" spans="1:11">
      <c r="A84" s="56" t="s">
        <v>131</v>
      </c>
      <c r="E84" s="11">
        <v>2013</v>
      </c>
      <c r="F84" s="9" t="s">
        <v>132</v>
      </c>
      <c r="K84" s="11" t="s">
        <v>158</v>
      </c>
    </row>
    <row r="85" spans="1:11">
      <c r="A85" s="56" t="s">
        <v>133</v>
      </c>
    </row>
    <row r="86" spans="1:11">
      <c r="A86" s="56" t="s">
        <v>134</v>
      </c>
    </row>
    <row r="87" spans="1:11">
      <c r="A87" s="56" t="s">
        <v>135</v>
      </c>
    </row>
    <row r="88" spans="1:11">
      <c r="A88" s="56" t="s">
        <v>136</v>
      </c>
    </row>
    <row r="89" spans="1:11">
      <c r="A89" s="58"/>
      <c r="B89" s="59"/>
      <c r="C89" s="59"/>
      <c r="D89" s="59"/>
      <c r="E89" s="59"/>
      <c r="F89" s="59"/>
      <c r="G89" s="59"/>
      <c r="H89" s="59"/>
      <c r="I89" s="59"/>
      <c r="J89" s="59"/>
      <c r="K89" s="59"/>
    </row>
    <row r="90" spans="1:11">
      <c r="A90" s="56" t="s">
        <v>137</v>
      </c>
      <c r="B90" s="11">
        <f>I4+1</f>
        <v>2014</v>
      </c>
      <c r="C90" s="9" t="s">
        <v>138</v>
      </c>
    </row>
    <row r="91" spans="1:11">
      <c r="A91" s="56" t="s">
        <v>139</v>
      </c>
    </row>
    <row r="92" spans="1:11">
      <c r="A92" s="56" t="s">
        <v>140</v>
      </c>
      <c r="J92" s="18">
        <v>15000</v>
      </c>
      <c r="K92" s="9" t="s">
        <v>16</v>
      </c>
    </row>
    <row r="93" spans="1:11">
      <c r="A93" s="70" t="s">
        <v>141</v>
      </c>
      <c r="B93" s="70"/>
      <c r="C93" s="70"/>
      <c r="D93" s="70"/>
      <c r="E93" s="70"/>
      <c r="J93" s="18">
        <v>10000</v>
      </c>
      <c r="K93" s="9" t="s">
        <v>16</v>
      </c>
    </row>
    <row r="94" spans="1:11">
      <c r="A94" s="56" t="s">
        <v>142</v>
      </c>
      <c r="J94" s="18">
        <v>1500</v>
      </c>
      <c r="K94" s="9" t="s">
        <v>16</v>
      </c>
    </row>
    <row r="95" spans="1:11">
      <c r="A95" s="56" t="s">
        <v>143</v>
      </c>
      <c r="J95" s="18">
        <v>15000</v>
      </c>
      <c r="K95" s="9" t="s">
        <v>16</v>
      </c>
    </row>
    <row r="96" spans="1:11">
      <c r="A96" s="56" t="s">
        <v>144</v>
      </c>
      <c r="J96" s="18">
        <v>8000</v>
      </c>
      <c r="K96" s="9" t="s">
        <v>16</v>
      </c>
    </row>
    <row r="97" spans="1:12">
      <c r="A97" s="56" t="s">
        <v>145</v>
      </c>
      <c r="J97" s="18">
        <v>8000</v>
      </c>
      <c r="K97" s="9" t="s">
        <v>16</v>
      </c>
    </row>
    <row r="98" spans="1:12">
      <c r="A98" s="56" t="s">
        <v>146</v>
      </c>
      <c r="B98"/>
      <c r="C98"/>
      <c r="D98"/>
      <c r="E98"/>
      <c r="F98"/>
      <c r="G98"/>
      <c r="H98"/>
      <c r="I98"/>
      <c r="J98" s="60">
        <v>7500</v>
      </c>
      <c r="K98" t="s">
        <v>16</v>
      </c>
      <c r="L98"/>
    </row>
    <row r="99" spans="1:12">
      <c r="A99" s="56" t="s">
        <v>147</v>
      </c>
      <c r="B99"/>
      <c r="C99"/>
      <c r="D99"/>
      <c r="E99"/>
      <c r="F99"/>
      <c r="G99"/>
      <c r="H99"/>
      <c r="I99"/>
      <c r="J99" s="60">
        <v>3200</v>
      </c>
      <c r="K99" t="s">
        <v>16</v>
      </c>
      <c r="L99"/>
    </row>
    <row r="100" spans="1:12">
      <c r="A100" s="61" t="s">
        <v>148</v>
      </c>
      <c r="J100" s="17">
        <f>SUM(J92:J99)</f>
        <v>68200</v>
      </c>
      <c r="K100" s="62" t="s">
        <v>149</v>
      </c>
    </row>
    <row r="101" spans="1:12">
      <c r="A101" s="56" t="s">
        <v>150</v>
      </c>
      <c r="H101" s="11">
        <f>I4</f>
        <v>2013</v>
      </c>
      <c r="I101" s="9" t="s">
        <v>151</v>
      </c>
      <c r="K101" s="17">
        <f>G70</f>
        <v>439901.7413020503</v>
      </c>
    </row>
    <row r="102" spans="1:12">
      <c r="A102" s="56" t="s">
        <v>152</v>
      </c>
      <c r="C102" s="13">
        <f>J100+K101</f>
        <v>508101.7413020503</v>
      </c>
      <c r="D102" s="11" t="s">
        <v>153</v>
      </c>
      <c r="E102" s="63">
        <f>I4+1</f>
        <v>2014</v>
      </c>
      <c r="F102" s="9" t="s">
        <v>154</v>
      </c>
      <c r="H102" s="16">
        <f>C102/(E6*12)</f>
        <v>16.042818844076404</v>
      </c>
      <c r="I102" s="9" t="s">
        <v>155</v>
      </c>
    </row>
    <row r="104" spans="1:12">
      <c r="B104" s="9" t="s">
        <v>156</v>
      </c>
    </row>
    <row r="105" spans="1:12">
      <c r="B105" s="9" t="s">
        <v>99</v>
      </c>
      <c r="I105" s="9" t="s">
        <v>157</v>
      </c>
    </row>
    <row r="106" spans="1:12">
      <c r="B106" s="1"/>
      <c r="C106" s="1"/>
      <c r="D106" s="1"/>
      <c r="E106" s="1"/>
      <c r="F106" s="1"/>
      <c r="G106" s="1"/>
      <c r="H106" s="1"/>
      <c r="I106" s="1"/>
      <c r="J106" s="2"/>
      <c r="K106" s="3"/>
      <c r="L106" s="1"/>
    </row>
    <row r="107" spans="1:12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</row>
    <row r="115" spans="12:12">
      <c r="L115" s="64"/>
    </row>
  </sheetData>
  <mergeCells count="122"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K34:L34"/>
    <mergeCell ref="B35:H35"/>
    <mergeCell ref="K35:L35"/>
    <mergeCell ref="B36:H36"/>
    <mergeCell ref="K36:L36"/>
    <mergeCell ref="B37:H37"/>
    <mergeCell ref="K37:L37"/>
    <mergeCell ref="B31:H31"/>
    <mergeCell ref="K31:L31"/>
    <mergeCell ref="B32:H32"/>
    <mergeCell ref="K32:L32"/>
    <mergeCell ref="B33:H33"/>
    <mergeCell ref="K33:L33"/>
    <mergeCell ref="B41:H41"/>
    <mergeCell ref="K41:L41"/>
    <mergeCell ref="B42:H42"/>
    <mergeCell ref="K42:L42"/>
    <mergeCell ref="B43:H43"/>
    <mergeCell ref="K43:L43"/>
    <mergeCell ref="B38:H38"/>
    <mergeCell ref="K38:L38"/>
    <mergeCell ref="B39:H39"/>
    <mergeCell ref="K39:L39"/>
    <mergeCell ref="B40:H40"/>
    <mergeCell ref="K40:L40"/>
    <mergeCell ref="B47:H47"/>
    <mergeCell ref="K47:L47"/>
    <mergeCell ref="B48:H48"/>
    <mergeCell ref="K48:L48"/>
    <mergeCell ref="B49:H49"/>
    <mergeCell ref="K49:L49"/>
    <mergeCell ref="B44:H44"/>
    <mergeCell ref="K44:L44"/>
    <mergeCell ref="B45:H45"/>
    <mergeCell ref="K45:L45"/>
    <mergeCell ref="B46:H46"/>
    <mergeCell ref="K46:L46"/>
    <mergeCell ref="B54:H54"/>
    <mergeCell ref="K54:L54"/>
    <mergeCell ref="B55:H55"/>
    <mergeCell ref="K55:L55"/>
    <mergeCell ref="B56:H56"/>
    <mergeCell ref="K56:L56"/>
    <mergeCell ref="B50:H50"/>
    <mergeCell ref="K50:L50"/>
    <mergeCell ref="K51:L51"/>
    <mergeCell ref="B52:H52"/>
    <mergeCell ref="K52:L52"/>
    <mergeCell ref="B53:H53"/>
    <mergeCell ref="K53:L53"/>
    <mergeCell ref="B60:H60"/>
    <mergeCell ref="K60:L60"/>
    <mergeCell ref="B61:H61"/>
    <mergeCell ref="K61:L61"/>
    <mergeCell ref="B62:H62"/>
    <mergeCell ref="K62:L62"/>
    <mergeCell ref="B57:H57"/>
    <mergeCell ref="K57:L57"/>
    <mergeCell ref="B58:H58"/>
    <mergeCell ref="K58:L58"/>
    <mergeCell ref="B59:H59"/>
    <mergeCell ref="K59:L59"/>
    <mergeCell ref="B66:H66"/>
    <mergeCell ref="K66:L66"/>
    <mergeCell ref="K67:L67"/>
    <mergeCell ref="K68:L68"/>
    <mergeCell ref="B72:E72"/>
    <mergeCell ref="F72:H72"/>
    <mergeCell ref="I72:L72"/>
    <mergeCell ref="B63:H63"/>
    <mergeCell ref="K63:L63"/>
    <mergeCell ref="B64:H64"/>
    <mergeCell ref="K64:L64"/>
    <mergeCell ref="B65:H65"/>
    <mergeCell ref="K65:L65"/>
    <mergeCell ref="B75:E75"/>
    <mergeCell ref="F75:H75"/>
    <mergeCell ref="I75:L75"/>
    <mergeCell ref="B76:E76"/>
    <mergeCell ref="F76:H76"/>
    <mergeCell ref="I76:L76"/>
    <mergeCell ref="B73:E73"/>
    <mergeCell ref="F73:H73"/>
    <mergeCell ref="I73:L73"/>
    <mergeCell ref="B74:E74"/>
    <mergeCell ref="F74:H74"/>
    <mergeCell ref="I74:L74"/>
    <mergeCell ref="B79:E79"/>
    <mergeCell ref="F79:H79"/>
    <mergeCell ref="I79:L79"/>
    <mergeCell ref="A93:E93"/>
    <mergeCell ref="A107:K107"/>
    <mergeCell ref="B77:E77"/>
    <mergeCell ref="F77:H77"/>
    <mergeCell ref="I77:L77"/>
    <mergeCell ref="B78:E78"/>
    <mergeCell ref="F78:H78"/>
    <mergeCell ref="I78:L7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2014-04-10T23:57:58Z</dcterms:modified>
</cp:coreProperties>
</file>