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 activeTab="1"/>
  </bookViews>
  <sheets>
    <sheet name="2013" sheetId="1" r:id="rId1"/>
    <sheet name="2014" sheetId="2" r:id="rId2"/>
    <sheet name="2015" sheetId="4" r:id="rId3"/>
    <sheet name="Лист3" sheetId="3" r:id="rId4"/>
  </sheets>
  <calcPr calcId="125725"/>
</workbook>
</file>

<file path=xl/calcChain.xml><?xml version="1.0" encoding="utf-8"?>
<calcChain xmlns="http://schemas.openxmlformats.org/spreadsheetml/2006/main">
  <c r="K43" i="4"/>
  <c r="B51" i="2"/>
  <c r="B61" s="1"/>
  <c r="F61" i="4"/>
  <c r="K44" i="2" l="1"/>
  <c r="G19"/>
  <c r="E79" i="4"/>
  <c r="H78"/>
  <c r="J77"/>
  <c r="B69"/>
  <c r="W68"/>
  <c r="V68"/>
  <c r="Y67" s="1"/>
  <c r="AC56"/>
  <c r="AD46" s="1"/>
  <c r="AB56"/>
  <c r="AE50" s="1"/>
  <c r="Y55"/>
  <c r="AE53"/>
  <c r="AE52"/>
  <c r="B49"/>
  <c r="D48"/>
  <c r="AE48"/>
  <c r="AE47"/>
  <c r="Y47"/>
  <c r="X47"/>
  <c r="AE46"/>
  <c r="X46"/>
  <c r="AE45"/>
  <c r="X45"/>
  <c r="Y44"/>
  <c r="X44"/>
  <c r="AE43"/>
  <c r="Y43"/>
  <c r="X43"/>
  <c r="AE42"/>
  <c r="X42"/>
  <c r="AE41"/>
  <c r="AD41"/>
  <c r="X41"/>
  <c r="AE40"/>
  <c r="X40"/>
  <c r="AE39"/>
  <c r="Y39"/>
  <c r="X39"/>
  <c r="AD38"/>
  <c r="Y38"/>
  <c r="X38"/>
  <c r="AE37"/>
  <c r="AD37"/>
  <c r="Y37"/>
  <c r="X37"/>
  <c r="AE36"/>
  <c r="AD36"/>
  <c r="X36"/>
  <c r="AE35"/>
  <c r="X35"/>
  <c r="AE34"/>
  <c r="Y34"/>
  <c r="X34"/>
  <c r="AE33"/>
  <c r="Y33"/>
  <c r="X33"/>
  <c r="AE32"/>
  <c r="AD32"/>
  <c r="Y32"/>
  <c r="X32"/>
  <c r="AE31"/>
  <c r="AD31"/>
  <c r="Y31"/>
  <c r="X31"/>
  <c r="AE30"/>
  <c r="AD30"/>
  <c r="Y30"/>
  <c r="X30"/>
  <c r="AE29"/>
  <c r="Y29"/>
  <c r="X29"/>
  <c r="AE28"/>
  <c r="AD28"/>
  <c r="Y28"/>
  <c r="X28"/>
  <c r="AE27"/>
  <c r="AD27"/>
  <c r="Y27"/>
  <c r="X27"/>
  <c r="AE26"/>
  <c r="AD26"/>
  <c r="Y26"/>
  <c r="X26"/>
  <c r="AE25"/>
  <c r="AD25"/>
  <c r="Y25"/>
  <c r="X25"/>
  <c r="AE24"/>
  <c r="AD24"/>
  <c r="Y24"/>
  <c r="X24"/>
  <c r="AE23"/>
  <c r="AD23"/>
  <c r="Y23"/>
  <c r="X23"/>
  <c r="AE22"/>
  <c r="AD22"/>
  <c r="Y22"/>
  <c r="X22"/>
  <c r="AE21"/>
  <c r="AD21"/>
  <c r="Y21"/>
  <c r="X21"/>
  <c r="X68" s="1"/>
  <c r="O19"/>
  <c r="P10" s="1"/>
  <c r="G19"/>
  <c r="W18"/>
  <c r="X16" s="1"/>
  <c r="S18"/>
  <c r="T17" s="1"/>
  <c r="AA17"/>
  <c r="AB16" s="1"/>
  <c r="X17"/>
  <c r="P17"/>
  <c r="G17"/>
  <c r="G16"/>
  <c r="X15"/>
  <c r="G15"/>
  <c r="AB14"/>
  <c r="X14"/>
  <c r="G14"/>
  <c r="J13" s="1"/>
  <c r="AA12"/>
  <c r="W12"/>
  <c r="X11" s="1"/>
  <c r="S12"/>
  <c r="AB11"/>
  <c r="T11"/>
  <c r="AB10"/>
  <c r="T10"/>
  <c r="AB9"/>
  <c r="T9"/>
  <c r="AB8"/>
  <c r="T8"/>
  <c r="AA6"/>
  <c r="AB5" s="1"/>
  <c r="W6"/>
  <c r="X5" s="1"/>
  <c r="S6"/>
  <c r="T4" s="1"/>
  <c r="G6"/>
  <c r="I6" s="1"/>
  <c r="B5"/>
  <c r="AB3"/>
  <c r="T3"/>
  <c r="K43" i="2"/>
  <c r="K40"/>
  <c r="K39"/>
  <c r="X2" i="4" l="1"/>
  <c r="X3"/>
  <c r="X9"/>
  <c r="AD33"/>
  <c r="AD35"/>
  <c r="AD40"/>
  <c r="AD42"/>
  <c r="AD43"/>
  <c r="AD44"/>
  <c r="Y45"/>
  <c r="AD47"/>
  <c r="Y48"/>
  <c r="Y49"/>
  <c r="Y50"/>
  <c r="Y51"/>
  <c r="Y58"/>
  <c r="T2"/>
  <c r="T5"/>
  <c r="X10"/>
  <c r="T14"/>
  <c r="T15"/>
  <c r="AE51"/>
  <c r="AE54"/>
  <c r="Y62"/>
  <c r="T16"/>
  <c r="A20"/>
  <c r="AB2"/>
  <c r="Y53"/>
  <c r="AE55"/>
  <c r="Y59"/>
  <c r="K44"/>
  <c r="K45" s="1"/>
  <c r="P13"/>
  <c r="P16"/>
  <c r="AB4"/>
  <c r="P11"/>
  <c r="P12"/>
  <c r="P15"/>
  <c r="X4"/>
  <c r="X8"/>
  <c r="P14"/>
  <c r="AB15"/>
  <c r="AD29"/>
  <c r="AD34"/>
  <c r="Y35"/>
  <c r="Y36"/>
  <c r="AE38"/>
  <c r="AD39"/>
  <c r="Y40"/>
  <c r="Y41"/>
  <c r="Y42"/>
  <c r="AE44"/>
  <c r="AD45"/>
  <c r="Y46"/>
  <c r="AE49"/>
  <c r="Y52"/>
  <c r="Y54"/>
  <c r="Y56"/>
  <c r="Y60"/>
  <c r="Y63"/>
  <c r="Y66"/>
  <c r="P18"/>
  <c r="Y65"/>
  <c r="Y57"/>
  <c r="Y61"/>
  <c r="Y64"/>
  <c r="K38" i="2"/>
  <c r="K37"/>
  <c r="AE56" i="4" l="1"/>
  <c r="AD56"/>
  <c r="Y68"/>
  <c r="K35" i="2"/>
  <c r="K34" l="1"/>
  <c r="K33"/>
  <c r="K32" l="1"/>
  <c r="G15" i="1"/>
  <c r="J14" s="1"/>
  <c r="G16"/>
  <c r="G17"/>
  <c r="G18"/>
  <c r="T18"/>
  <c r="U16" s="1"/>
  <c r="X18"/>
  <c r="Y17" s="1"/>
  <c r="G14" i="2"/>
  <c r="G15"/>
  <c r="G16"/>
  <c r="G17"/>
  <c r="K30"/>
  <c r="K29"/>
  <c r="J13" l="1"/>
  <c r="Y16" i="1"/>
  <c r="U15"/>
  <c r="Y15"/>
  <c r="U14"/>
  <c r="Y14"/>
  <c r="U17"/>
  <c r="K26" i="2"/>
  <c r="K25"/>
  <c r="K28" l="1"/>
  <c r="K45" s="1"/>
  <c r="K46" l="1"/>
  <c r="K47" s="1"/>
  <c r="U36" i="1"/>
  <c r="V33" s="1"/>
  <c r="V32" l="1"/>
  <c r="V35"/>
  <c r="V28"/>
  <c r="V31"/>
  <c r="V30"/>
  <c r="V29"/>
  <c r="V34"/>
  <c r="J78"/>
  <c r="AC80" l="1"/>
  <c r="K39"/>
  <c r="K37" l="1"/>
  <c r="K38"/>
  <c r="K35"/>
  <c r="J35"/>
  <c r="K34" l="1"/>
  <c r="K33"/>
  <c r="K41" l="1"/>
  <c r="K40"/>
  <c r="K32"/>
  <c r="K31"/>
  <c r="X24" l="1"/>
  <c r="Y23" s="1"/>
  <c r="T24"/>
  <c r="U23" s="1"/>
  <c r="Y22" l="1"/>
  <c r="Y20"/>
  <c r="Y21"/>
  <c r="U20"/>
  <c r="U22"/>
  <c r="U21"/>
  <c r="K24" l="1"/>
  <c r="AC100" l="1"/>
  <c r="AC97"/>
  <c r="AC81"/>
  <c r="AC82"/>
  <c r="AC84"/>
  <c r="AC85"/>
  <c r="AC86"/>
  <c r="AC87"/>
  <c r="AC88"/>
  <c r="AC89"/>
  <c r="AC90"/>
  <c r="AC91"/>
  <c r="AC92"/>
  <c r="AC93"/>
  <c r="AC94"/>
  <c r="AC95"/>
  <c r="AC96"/>
  <c r="AC98"/>
  <c r="AC99"/>
  <c r="AC101"/>
  <c r="AC102"/>
  <c r="AC103"/>
  <c r="AC104"/>
  <c r="AC105" l="1"/>
  <c r="AF106" l="1"/>
  <c r="G20" s="1"/>
  <c r="K36"/>
  <c r="K29" l="1"/>
  <c r="K42" s="1"/>
  <c r="K43" s="1"/>
  <c r="K44" s="1"/>
  <c r="G46" s="1"/>
  <c r="A25"/>
  <c r="E80" i="2" l="1"/>
  <c r="H79"/>
  <c r="J78"/>
  <c r="B70"/>
  <c r="D50"/>
  <c r="G7"/>
  <c r="I7" s="1"/>
  <c r="B6"/>
  <c r="G8" i="1"/>
  <c r="K48" i="2" l="1"/>
  <c r="G50" s="1"/>
  <c r="K23" i="4" s="1"/>
  <c r="A20" i="2"/>
  <c r="K46" i="4" l="1"/>
  <c r="G48" s="1"/>
  <c r="K78" s="1"/>
  <c r="C79" s="1"/>
  <c r="H79" s="1"/>
  <c r="K79" i="2"/>
  <c r="C80" s="1"/>
  <c r="H80" s="1"/>
  <c r="F63" s="1"/>
  <c r="I8" i="1"/>
  <c r="A21" s="1"/>
  <c r="K79" l="1"/>
  <c r="C80" s="1"/>
  <c r="H80" s="1"/>
  <c r="F59" s="1"/>
</calcChain>
</file>

<file path=xl/sharedStrings.xml><?xml version="1.0" encoding="utf-8"?>
<sst xmlns="http://schemas.openxmlformats.org/spreadsheetml/2006/main" count="559" uniqueCount="255">
  <si>
    <t>Отчет ООО "Управляющая компания "Альтернатива"</t>
  </si>
  <si>
    <t>о выполнении договора управления многоквартирным домом</t>
  </si>
  <si>
    <t>№</t>
  </si>
  <si>
    <t>рублей, оплачено собственниками</t>
  </si>
  <si>
    <t>%)</t>
  </si>
  <si>
    <t xml:space="preserve"> рубля,</t>
  </si>
  <si>
    <t>•</t>
  </si>
  <si>
    <t>тепловая энергия</t>
  </si>
  <si>
    <t>водоснабжение и водоотведение</t>
  </si>
  <si>
    <t>электрическая энергия</t>
  </si>
  <si>
    <t>руб.</t>
  </si>
  <si>
    <t>4.  Плата за текущий ремонт, начисленная в размере</t>
  </si>
  <si>
    <t xml:space="preserve">   рубля   (поступило  от  жителей </t>
  </si>
  <si>
    <t>п/п</t>
  </si>
  <si>
    <t>прочие поставщики</t>
  </si>
  <si>
    <t>Стоимость</t>
  </si>
  <si>
    <t>(руб.)</t>
  </si>
  <si>
    <t>Количество</t>
  </si>
  <si>
    <t>Ед.</t>
  </si>
  <si>
    <t>изм.</t>
  </si>
  <si>
    <t>Наименование мероприятий.</t>
  </si>
  <si>
    <t>Всего:</t>
  </si>
  <si>
    <t>ИТОГО:</t>
  </si>
  <si>
    <t xml:space="preserve">Перерасход (+) или экономия (-) средств текущего ремонта общего имущества многоквартирного дома по </t>
  </si>
  <si>
    <t>год.</t>
  </si>
  <si>
    <t>состоянию  на   31  декабря</t>
  </si>
  <si>
    <t xml:space="preserve">года составляет </t>
  </si>
  <si>
    <t>рубля.</t>
  </si>
  <si>
    <t>5.    В</t>
  </si>
  <si>
    <t xml:space="preserve">1.   В </t>
  </si>
  <si>
    <t>г.   по дому</t>
  </si>
  <si>
    <t xml:space="preserve">году начисление платы за содержание, ремонт и коммунальные услуги производилось </t>
  </si>
  <si>
    <t>3.  Соответственно,  компания  имеет  задолженность  перед  поставщиками  услуг</t>
  </si>
  <si>
    <t>рублей:</t>
  </si>
  <si>
    <t>1.</t>
  </si>
  <si>
    <t>2.</t>
  </si>
  <si>
    <t>3.</t>
  </si>
  <si>
    <t>4.</t>
  </si>
  <si>
    <t>5.</t>
  </si>
  <si>
    <t>6.</t>
  </si>
  <si>
    <t>Наименование статьи.</t>
  </si>
  <si>
    <t>ООО "УК "Альтернатива"</t>
  </si>
  <si>
    <t>Муниципальные дома</t>
  </si>
  <si>
    <t>Содержание общего имущества.</t>
  </si>
  <si>
    <t>Текущий ремонт общего имущества.</t>
  </si>
  <si>
    <t>Отопление.</t>
  </si>
  <si>
    <t>Горячее водоснабжение.</t>
  </si>
  <si>
    <t>Холодное водоснабжение.</t>
  </si>
  <si>
    <t>Водоотведение.</t>
  </si>
  <si>
    <t>4,74 руб./м²</t>
  </si>
  <si>
    <t xml:space="preserve"> - текущий ремонт общего имущества -</t>
  </si>
  <si>
    <t>рубля с кв.метра в месяц;</t>
  </si>
  <si>
    <t>В</t>
  </si>
  <si>
    <t>году (с 1 января) предлагается следующая плата за содержание и ремонт общего имущества:</t>
  </si>
  <si>
    <t>6.      В</t>
  </si>
  <si>
    <t>году   управляющая  компания   предлагает   выполнить  за  счет  средств   текущего  ремонта</t>
  </si>
  <si>
    <t xml:space="preserve">  общего имущества многоквартирного дома следующие мероприятия:</t>
  </si>
  <si>
    <t xml:space="preserve">  -  вывоз снега с придомовой территории</t>
  </si>
  <si>
    <t xml:space="preserve">  -  поверка (замена) манометров и термометров</t>
  </si>
  <si>
    <t xml:space="preserve">  -  непредвиденные затраты (компенсаторы, арматура, эл.арматура, замки и т.д.)</t>
  </si>
  <si>
    <t xml:space="preserve">  -  мероприятия по энергоресурсосбережению</t>
  </si>
  <si>
    <t xml:space="preserve"> ИТОГО  ориентировочно:</t>
  </si>
  <si>
    <t>рублей</t>
  </si>
  <si>
    <t xml:space="preserve">          Что  с  учетом  перерасхода (+)   или   экономии (-)  средств    в </t>
  </si>
  <si>
    <t xml:space="preserve">          составит </t>
  </si>
  <si>
    <t>на</t>
  </si>
  <si>
    <r>
      <t>м</t>
    </r>
    <r>
      <rPr>
        <sz val="11"/>
        <color theme="1"/>
        <rFont val="Calibri"/>
        <family val="2"/>
        <charset val="204"/>
      </rPr>
      <t>²) начислено за содержание, ремонт и коммунальные услуги:</t>
    </r>
  </si>
  <si>
    <t xml:space="preserve">год ,       или </t>
  </si>
  <si>
    <t>рубля с кв.метра в месяц.</t>
  </si>
  <si>
    <t>Директор</t>
  </si>
  <si>
    <t>А.Б. Хлебников</t>
  </si>
  <si>
    <t>году   в   размере</t>
  </si>
  <si>
    <t>рубля),     направлена на следующие мероприятия:</t>
  </si>
  <si>
    <r>
      <t>оф.</t>
    </r>
    <r>
      <rPr>
        <b/>
        <sz val="11"/>
        <color theme="1"/>
        <rFont val="Calibri"/>
        <family val="2"/>
        <charset val="204"/>
        <scheme val="minor"/>
      </rPr>
      <t xml:space="preserve"> 2 </t>
    </r>
    <r>
      <rPr>
        <sz val="11"/>
        <color theme="1"/>
        <rFont val="Calibri"/>
        <family val="2"/>
        <charset val="204"/>
        <scheme val="minor"/>
      </rPr>
      <t xml:space="preserve">- </t>
    </r>
  </si>
  <si>
    <r>
      <t xml:space="preserve">кв. </t>
    </r>
    <r>
      <rPr>
        <b/>
        <sz val="11"/>
        <color theme="1"/>
        <rFont val="Calibri"/>
        <family val="2"/>
        <charset val="204"/>
        <scheme val="minor"/>
      </rPr>
      <t>5</t>
    </r>
    <r>
      <rPr>
        <sz val="11"/>
        <color theme="1"/>
        <rFont val="Calibri"/>
        <family val="2"/>
        <charset val="204"/>
        <scheme val="minor"/>
      </rPr>
      <t xml:space="preserve"> -              </t>
    </r>
  </si>
  <si>
    <r>
      <rPr>
        <sz val="11"/>
        <color theme="1"/>
        <rFont val="Calibri"/>
        <family val="2"/>
        <charset val="204"/>
        <scheme val="minor"/>
      </rPr>
      <t>кв.</t>
    </r>
    <r>
      <rPr>
        <b/>
        <sz val="11"/>
        <color theme="1"/>
        <rFont val="Calibri"/>
        <family val="2"/>
        <charset val="204"/>
        <scheme val="minor"/>
      </rPr>
      <t xml:space="preserve"> 16 -</t>
    </r>
  </si>
  <si>
    <r>
      <t xml:space="preserve">кв. </t>
    </r>
    <r>
      <rPr>
        <b/>
        <sz val="11"/>
        <color theme="1"/>
        <rFont val="Calibri"/>
        <family val="2"/>
        <charset val="204"/>
        <scheme val="minor"/>
      </rPr>
      <t xml:space="preserve">27 - </t>
    </r>
  </si>
  <si>
    <r>
      <rPr>
        <sz val="11"/>
        <color theme="1"/>
        <rFont val="Calibri"/>
        <family val="2"/>
        <charset val="204"/>
        <scheme val="minor"/>
      </rPr>
      <t>кв.</t>
    </r>
    <r>
      <rPr>
        <b/>
        <sz val="11"/>
        <color theme="1"/>
        <rFont val="Calibri"/>
        <family val="2"/>
        <charset val="204"/>
        <scheme val="minor"/>
      </rPr>
      <t xml:space="preserve"> 22 - </t>
    </r>
  </si>
  <si>
    <r>
      <t xml:space="preserve">кв. </t>
    </r>
    <r>
      <rPr>
        <b/>
        <sz val="11"/>
        <color theme="1"/>
        <rFont val="Calibri"/>
        <family val="2"/>
        <charset val="204"/>
        <scheme val="minor"/>
      </rPr>
      <t>13</t>
    </r>
    <r>
      <rPr>
        <sz val="11"/>
        <color theme="1"/>
        <rFont val="Calibri"/>
        <family val="2"/>
        <charset val="204"/>
        <scheme val="minor"/>
      </rPr>
      <t xml:space="preserve"> -                  </t>
    </r>
  </si>
  <si>
    <t xml:space="preserve">  -  передача наружных инженерных сетей</t>
  </si>
  <si>
    <t>П 33/4</t>
  </si>
  <si>
    <t xml:space="preserve">  -  чистка кровли от снега</t>
  </si>
  <si>
    <t>в том числе (имеющие значительную задолженность):</t>
  </si>
  <si>
    <t>2. Задолженность жителей по квартплате и коммунальным   услугам  составляет:</t>
  </si>
  <si>
    <t xml:space="preserve">   рублей        (</t>
  </si>
  <si>
    <t xml:space="preserve">микрорайон   Березовый  за </t>
  </si>
  <si>
    <t>шт.</t>
  </si>
  <si>
    <t>( ОАО "Западное управление")</t>
  </si>
  <si>
    <t>Установка накладного замка на входную дверь в подвал.</t>
  </si>
  <si>
    <t>Счет № 1629 от 04.07.2012+АКТ</t>
  </si>
  <si>
    <t>Акт выполненных работ 20.07.2012</t>
  </si>
  <si>
    <t>Монтаж розеток в подвальных помещениях.</t>
  </si>
  <si>
    <t xml:space="preserve">1.В </t>
  </si>
  <si>
    <t xml:space="preserve">   рублей      (</t>
  </si>
  <si>
    <t>5.  В</t>
  </si>
  <si>
    <t>площадь</t>
  </si>
  <si>
    <t>тариф</t>
  </si>
  <si>
    <t>МЕСЯЦА</t>
  </si>
  <si>
    <t>07.05.2013</t>
  </si>
  <si>
    <t>мес.</t>
  </si>
  <si>
    <t xml:space="preserve"> - плата   за   горячее  и  холодное  водоснабжение ,  водоотведение ,  электроснабжение   будет   начисляться</t>
  </si>
  <si>
    <t xml:space="preserve">   общедомовых   и   индивидуальных  приборов  учета.   При   отсутствии  индивидуальных  приборов  учета по </t>
  </si>
  <si>
    <t xml:space="preserve">  101  ( </t>
  </si>
  <si>
    <t>Табличка с номером дома.</t>
  </si>
  <si>
    <t>Номера на почтовые ящики (наклейки).</t>
  </si>
  <si>
    <t>Кв. 2</t>
  </si>
  <si>
    <t>Кв. 5</t>
  </si>
  <si>
    <t>Кв. 9</t>
  </si>
  <si>
    <t>Кв. 10</t>
  </si>
  <si>
    <t>Кв. 11</t>
  </si>
  <si>
    <t>Кв. 12</t>
  </si>
  <si>
    <t>Кв. 13</t>
  </si>
  <si>
    <t>Кв. 14</t>
  </si>
  <si>
    <t>Кв. 15</t>
  </si>
  <si>
    <t>Кв. 16</t>
  </si>
  <si>
    <t>Кв. 17</t>
  </si>
  <si>
    <t>Кв. 18</t>
  </si>
  <si>
    <t>Кв. 19</t>
  </si>
  <si>
    <t>Кв. 20</t>
  </si>
  <si>
    <t>Кв. 21</t>
  </si>
  <si>
    <t>Кв. 23</t>
  </si>
  <si>
    <t>Кв. 24</t>
  </si>
  <si>
    <t>Кв. 26</t>
  </si>
  <si>
    <t>Кв. 28</t>
  </si>
  <si>
    <t>Кв. 29</t>
  </si>
  <si>
    <t>Кв. 30</t>
  </si>
  <si>
    <t>05.07.2013</t>
  </si>
  <si>
    <t>20.09.2013</t>
  </si>
  <si>
    <t>29.04.2013</t>
  </si>
  <si>
    <t>23.04.2013</t>
  </si>
  <si>
    <t>15.04.2013</t>
  </si>
  <si>
    <t>01.08.2013</t>
  </si>
  <si>
    <t>21.09.2013</t>
  </si>
  <si>
    <t>21.05.2013</t>
  </si>
  <si>
    <t>06.09.2013</t>
  </si>
  <si>
    <t>28.06.2013</t>
  </si>
  <si>
    <t>25.04.2013</t>
  </si>
  <si>
    <t>25.07.2013</t>
  </si>
  <si>
    <t>02.08.2013</t>
  </si>
  <si>
    <t>19.07.2013</t>
  </si>
  <si>
    <t>20.05.2013</t>
  </si>
  <si>
    <t>Счет № 7689 от 26.12.2012</t>
  </si>
  <si>
    <t>Установка электромагнитного замка.</t>
  </si>
  <si>
    <t>−</t>
  </si>
  <si>
    <t xml:space="preserve">Акт выполненных работ от май 2013г. </t>
  </si>
  <si>
    <t>Счет № 1132 от 16.10.2013г.</t>
  </si>
  <si>
    <t xml:space="preserve">По техпаспорту общая площадь квартир </t>
  </si>
  <si>
    <t>(без учета нежилых помещений)</t>
  </si>
  <si>
    <r>
      <t>м</t>
    </r>
    <r>
      <rPr>
        <sz val="11"/>
        <color theme="1"/>
        <rFont val="Calibri"/>
        <family val="2"/>
        <charset val="204"/>
      </rPr>
      <t>²</t>
    </r>
  </si>
  <si>
    <t xml:space="preserve">По протоколу общего собрания площадь помещений, принадлежащих собственникам,             </t>
  </si>
  <si>
    <t xml:space="preserve">По программе (квартплата) общая площадь помещений  </t>
  </si>
  <si>
    <t>период</t>
  </si>
  <si>
    <t xml:space="preserve">       с 01 мая 2013 года по 31 декабря 2013 года</t>
  </si>
  <si>
    <t xml:space="preserve">   по дому</t>
  </si>
  <si>
    <t xml:space="preserve">   согласно   Постановления   Правительства   РФ   № 354   от  06 мая 2011 года  (ежемесячно, согласно показаний</t>
  </si>
  <si>
    <t xml:space="preserve">   новым нормативам, введенным с 01 января 2013 года Приказом министерства ЖКХ, энергетики и </t>
  </si>
  <si>
    <t xml:space="preserve">   транспорта ИО № 7-мпр от 27 августа 2012 года).</t>
  </si>
  <si>
    <t>Акт выполненных работ от декабрь 2013 г.</t>
  </si>
  <si>
    <t>01.11.2013</t>
  </si>
  <si>
    <t>12.11.2013</t>
  </si>
  <si>
    <t>09.08.2013</t>
  </si>
  <si>
    <t>08.11.2013</t>
  </si>
  <si>
    <t>Управление МКД (14%)</t>
  </si>
  <si>
    <t>( ОАО "Северное управление")</t>
  </si>
  <si>
    <t>0,019 Гкал/м</t>
  </si>
  <si>
    <t>0,027 Гкал/м</t>
  </si>
  <si>
    <t>268,18 руб./чел.</t>
  </si>
  <si>
    <t>301,44 руб./чел.</t>
  </si>
  <si>
    <t>59,10 руб./чел.</t>
  </si>
  <si>
    <t>74,71 руб./чел.</t>
  </si>
  <si>
    <t>96,43руб./чел.</t>
  </si>
  <si>
    <t>116,82 руб./чел.</t>
  </si>
  <si>
    <t>101    (</t>
  </si>
  <si>
    <t>Счет № 152 от 18.12.12</t>
  </si>
  <si>
    <t>акт в 85</t>
  </si>
  <si>
    <t xml:space="preserve">Уборка снега </t>
  </si>
  <si>
    <r>
      <t xml:space="preserve">м </t>
    </r>
    <r>
      <rPr>
        <sz val="11"/>
        <color theme="1"/>
        <rFont val="Calibri"/>
        <family val="2"/>
        <charset val="204"/>
      </rPr>
      <t>²</t>
    </r>
  </si>
  <si>
    <t>Монтаж дополнительного наружного освещения дороги(4%)</t>
  </si>
  <si>
    <r>
      <t>м</t>
    </r>
    <r>
      <rPr>
        <sz val="11"/>
        <rFont val="Calibri"/>
        <family val="2"/>
        <charset val="204"/>
      </rPr>
      <t>²) начислено за содержание, ремонт и коммунальные услуги:</t>
    </r>
  </si>
  <si>
    <r>
      <t xml:space="preserve">кв. </t>
    </r>
    <r>
      <rPr>
        <b/>
        <sz val="11"/>
        <rFont val="Calibri"/>
        <family val="2"/>
        <charset val="204"/>
        <scheme val="minor"/>
      </rPr>
      <t>5</t>
    </r>
    <r>
      <rPr>
        <sz val="11"/>
        <rFont val="Calibri"/>
        <family val="2"/>
        <charset val="204"/>
        <scheme val="minor"/>
      </rPr>
      <t xml:space="preserve"> -              </t>
    </r>
  </si>
  <si>
    <r>
      <t>11,20 руб./м</t>
    </r>
    <r>
      <rPr>
        <sz val="11"/>
        <rFont val="Calibri"/>
        <family val="2"/>
        <charset val="204"/>
      </rPr>
      <t>²</t>
    </r>
  </si>
  <si>
    <r>
      <t>5,45 руб./м</t>
    </r>
    <r>
      <rPr>
        <sz val="11"/>
        <rFont val="Calibri"/>
        <family val="2"/>
        <charset val="204"/>
      </rPr>
      <t>²</t>
    </r>
  </si>
  <si>
    <r>
      <t>м</t>
    </r>
    <r>
      <rPr>
        <sz val="11"/>
        <rFont val="Calibri"/>
        <family val="2"/>
        <charset val="204"/>
      </rPr>
      <t>²</t>
    </r>
  </si>
  <si>
    <r>
      <t xml:space="preserve">кв. </t>
    </r>
    <r>
      <rPr>
        <b/>
        <sz val="11"/>
        <rFont val="Calibri"/>
        <family val="2"/>
        <charset val="204"/>
        <scheme val="minor"/>
      </rPr>
      <t>9</t>
    </r>
    <r>
      <rPr>
        <sz val="11"/>
        <rFont val="Calibri"/>
        <family val="2"/>
        <charset val="204"/>
        <scheme val="minor"/>
      </rPr>
      <t xml:space="preserve"> -              </t>
    </r>
  </si>
  <si>
    <r>
      <t xml:space="preserve">кв. </t>
    </r>
    <r>
      <rPr>
        <b/>
        <sz val="11"/>
        <rFont val="Calibri"/>
        <family val="2"/>
        <charset val="204"/>
        <scheme val="minor"/>
      </rPr>
      <t>10</t>
    </r>
    <r>
      <rPr>
        <sz val="11"/>
        <rFont val="Calibri"/>
        <family val="2"/>
        <charset val="204"/>
        <scheme val="minor"/>
      </rPr>
      <t xml:space="preserve"> -                  </t>
    </r>
  </si>
  <si>
    <r>
      <rPr>
        <sz val="11"/>
        <rFont val="Calibri"/>
        <family val="2"/>
        <charset val="204"/>
        <scheme val="minor"/>
      </rPr>
      <t>кв.</t>
    </r>
    <r>
      <rPr>
        <b/>
        <sz val="11"/>
        <rFont val="Calibri"/>
        <family val="2"/>
        <charset val="204"/>
        <scheme val="minor"/>
      </rPr>
      <t xml:space="preserve"> 14 -</t>
    </r>
  </si>
  <si>
    <r>
      <rPr>
        <sz val="11"/>
        <rFont val="Calibri"/>
        <family val="2"/>
        <charset val="204"/>
        <scheme val="minor"/>
      </rPr>
      <t>кв.</t>
    </r>
    <r>
      <rPr>
        <b/>
        <sz val="11"/>
        <rFont val="Calibri"/>
        <family val="2"/>
        <charset val="204"/>
        <scheme val="minor"/>
      </rPr>
      <t xml:space="preserve"> 20 - </t>
    </r>
  </si>
  <si>
    <r>
      <t xml:space="preserve">кв. </t>
    </r>
    <r>
      <rPr>
        <b/>
        <sz val="11"/>
        <rFont val="Calibri"/>
        <family val="2"/>
        <charset val="204"/>
        <scheme val="minor"/>
      </rPr>
      <t xml:space="preserve">29 - </t>
    </r>
  </si>
  <si>
    <t>м/час</t>
  </si>
  <si>
    <t>S тех. пас</t>
  </si>
  <si>
    <t>S квартпл</t>
  </si>
  <si>
    <t>%кв</t>
  </si>
  <si>
    <t>% тех.п.</t>
  </si>
  <si>
    <t>№ дома</t>
  </si>
  <si>
    <t>Замена манометров в ИТП (24,99%).</t>
  </si>
  <si>
    <t>Замена термометров в ИТП (24,99%).</t>
  </si>
  <si>
    <t>Изготовление крестовин для установки новогодних елок (4,11%).</t>
  </si>
  <si>
    <t>Установка новогодней елки (4,11%)</t>
  </si>
  <si>
    <t>Монтаж охранной сигнализацией ИТП (24,99%).</t>
  </si>
  <si>
    <t>Оплата за охранную сигнализацию ИТП (24,99%).</t>
  </si>
  <si>
    <t>Генеральная уборка подъезда в апреле.</t>
  </si>
  <si>
    <t>Перерасход (+) или экономия (-) средств в 2013 году.</t>
  </si>
  <si>
    <t>Всего в 2014году:</t>
  </si>
  <si>
    <t>ИТОГО за 2014год:</t>
  </si>
  <si>
    <t>ИТОГО на 31.12.2014г:</t>
  </si>
  <si>
    <t>Благоустройство территории (посадка деревьев, кустарников, цветов).</t>
  </si>
  <si>
    <t>Покраска дорожных бордюр и разметка дорог вдоль домов.</t>
  </si>
  <si>
    <t>Акт выполненных работ от август 2013г.</t>
  </si>
  <si>
    <t>Монтаж замков на почтовые ящики.</t>
  </si>
  <si>
    <t>Чистка канализации между  № 85-84 (10,20%).</t>
  </si>
  <si>
    <t>ХАБ</t>
  </si>
  <si>
    <t>Тех. обслуживание наружного видеонаблюдения (5,0%).</t>
  </si>
  <si>
    <t xml:space="preserve"> -  тех. обслуживание видеонаблюдения </t>
  </si>
  <si>
    <t xml:space="preserve">  -  плата за охранную сигнализацию ИТП</t>
  </si>
  <si>
    <t xml:space="preserve">  -  благоустройство территории</t>
  </si>
  <si>
    <t xml:space="preserve">  -  установка новогодней елки  </t>
  </si>
  <si>
    <r>
      <t xml:space="preserve"> - содержание общего имущества - </t>
    </r>
    <r>
      <rPr>
        <b/>
        <sz val="11"/>
        <rFont val="Calibri"/>
        <family val="2"/>
        <charset val="204"/>
        <scheme val="minor"/>
      </rPr>
      <t>13,22</t>
    </r>
    <r>
      <rPr>
        <sz val="11"/>
        <rFont val="Calibri"/>
        <family val="2"/>
        <charset val="204"/>
        <scheme val="minor"/>
      </rPr>
      <t xml:space="preserve">  рубля с кв.метра общей площади в месяц;</t>
    </r>
  </si>
  <si>
    <t>12,38 руб./м²</t>
  </si>
  <si>
    <t xml:space="preserve">Монтаж наружного видеонаблюдения (12,46 %). </t>
  </si>
  <si>
    <t>тех обсл видео 2014г.</t>
  </si>
  <si>
    <t>Тех. обслуживание наружного видеонаблюдения (11,71 %).</t>
  </si>
  <si>
    <t>Уборка и вывоз снега с придомовой территории в январе (4,11%)</t>
  </si>
  <si>
    <t>Уборка и вывоз снега с придомовой территории в марте (3,09%)</t>
  </si>
  <si>
    <t>Нанесение трафарета на мусорные баки (3,09%)</t>
  </si>
  <si>
    <t>Покраска мусорных баков (3,09%)</t>
  </si>
  <si>
    <t>Замена ламп в светильниках ЛПО.</t>
  </si>
  <si>
    <t>Бер101 (III)</t>
  </si>
  <si>
    <t>Бер 101 (III)</t>
  </si>
  <si>
    <t>Монтаж дополнительного датчика охранной сигнализации ИТП (24,94)</t>
  </si>
  <si>
    <t>раб.</t>
  </si>
  <si>
    <t>Ремонт бытового помещения (2,26%)</t>
  </si>
  <si>
    <t>Замена трансформатора тока (по предписанию энергосбыта)(2,26%)</t>
  </si>
  <si>
    <t>Чистка КНС (канализационной насосной станции) (2,26%)</t>
  </si>
  <si>
    <t>Генеральная уборка в октябре.</t>
  </si>
  <si>
    <t>м ²</t>
  </si>
  <si>
    <t>м</t>
  </si>
  <si>
    <t>Замена питающих кабелей на электродвигатели насосов КНС (2,26%).</t>
  </si>
  <si>
    <t>Регистрация видеонаблюдения(2,26%).</t>
  </si>
  <si>
    <t>Замена манометров в ИТП (24,94%)</t>
  </si>
  <si>
    <t>Замена термометров в ИТП (24,94%)</t>
  </si>
  <si>
    <t>Монтаж таблички в подъезде "Курение запрещено"</t>
  </si>
  <si>
    <t>Установка новогодней елки (2,26 %)</t>
  </si>
  <si>
    <t>Установка дополнительного светильника над подъездом.</t>
  </si>
  <si>
    <t>Монтаж системы видеонаблюдения предоплата.</t>
  </si>
  <si>
    <t>счет № 12 от 09,02,2015</t>
  </si>
  <si>
    <t>Оплата за охранную сигнализацию ИТП (24,94%).</t>
  </si>
  <si>
    <t>Перерасход (+) или экономия (-) средств в 2014 году.</t>
  </si>
  <si>
    <t>рублей (</t>
  </si>
  <si>
    <r>
      <t>кв.</t>
    </r>
    <r>
      <rPr>
        <b/>
        <sz val="11"/>
        <color theme="1"/>
        <rFont val="Calibri"/>
        <family val="2"/>
        <charset val="204"/>
        <scheme val="minor"/>
      </rPr>
      <t xml:space="preserve"> 3</t>
    </r>
    <r>
      <rPr>
        <sz val="11"/>
        <color theme="1"/>
        <rFont val="Calibri"/>
        <family val="2"/>
        <charset val="204"/>
        <scheme val="minor"/>
      </rPr>
      <t xml:space="preserve"> -              </t>
    </r>
  </si>
  <si>
    <r>
      <t xml:space="preserve">кв. </t>
    </r>
    <r>
      <rPr>
        <b/>
        <sz val="11"/>
        <color theme="1"/>
        <rFont val="Calibri"/>
        <family val="2"/>
        <charset val="204"/>
        <scheme val="minor"/>
      </rPr>
      <t>6</t>
    </r>
    <r>
      <rPr>
        <sz val="11"/>
        <color theme="1"/>
        <rFont val="Calibri"/>
        <family val="2"/>
        <charset val="204"/>
        <scheme val="minor"/>
      </rPr>
      <t xml:space="preserve"> -              </t>
    </r>
  </si>
  <si>
    <r>
      <rPr>
        <sz val="11"/>
        <color theme="1"/>
        <rFont val="Calibri"/>
        <family val="2"/>
        <charset val="204"/>
        <scheme val="minor"/>
      </rPr>
      <t>кв.</t>
    </r>
    <r>
      <rPr>
        <b/>
        <sz val="11"/>
        <color theme="1"/>
        <rFont val="Calibri"/>
        <family val="2"/>
        <charset val="204"/>
        <scheme val="minor"/>
      </rPr>
      <t xml:space="preserve"> 9 -</t>
    </r>
  </si>
  <si>
    <r>
      <rPr>
        <sz val="11"/>
        <color theme="1"/>
        <rFont val="Calibri"/>
        <family val="2"/>
        <charset val="204"/>
        <scheme val="minor"/>
      </rPr>
      <t>кв.</t>
    </r>
    <r>
      <rPr>
        <b/>
        <sz val="11"/>
        <color theme="1"/>
        <rFont val="Calibri"/>
        <family val="2"/>
        <charset val="204"/>
        <scheme val="minor"/>
      </rPr>
      <t xml:space="preserve"> 14- </t>
    </r>
  </si>
  <si>
    <t xml:space="preserve"> - </t>
  </si>
  <si>
    <t>Накладные расходы (14%)</t>
  </si>
  <si>
    <t>Предъявлен на рассмотрение</t>
  </si>
</sst>
</file>

<file path=xl/styles.xml><?xml version="1.0" encoding="utf-8"?>
<styleSheet xmlns="http://schemas.openxmlformats.org/spreadsheetml/2006/main">
  <numFmts count="1">
    <numFmt numFmtId="164" formatCode="0.0"/>
  </numFmts>
  <fonts count="2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8"/>
      <color theme="1"/>
      <name val="Calibri"/>
      <family val="2"/>
      <charset val="204"/>
      <scheme val="minor"/>
    </font>
    <font>
      <sz val="6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8"/>
      <name val="Arial"/>
      <family val="2"/>
      <charset val="204"/>
    </font>
    <font>
      <sz val="9"/>
      <name val="Arial"/>
      <family val="2"/>
    </font>
    <font>
      <sz val="11"/>
      <name val="Calibri"/>
      <family val="2"/>
      <charset val="204"/>
      <scheme val="minor"/>
    </font>
    <font>
      <b/>
      <sz val="11"/>
      <name val="Arial"/>
      <family val="2"/>
      <charset val="204"/>
    </font>
    <font>
      <b/>
      <sz val="11"/>
      <name val="Arial"/>
      <family val="2"/>
    </font>
    <font>
      <sz val="6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</font>
    <font>
      <b/>
      <sz val="12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0"/>
      <color rgb="FF003F2F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E4F0DD"/>
      </patternFill>
    </fill>
    <fill>
      <patternFill patternType="solid">
        <fgColor rgb="FF92D05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CC8BD"/>
      </left>
      <right style="thin">
        <color rgb="FFACC8BD"/>
      </right>
      <top style="thin">
        <color rgb="FFACC8BD"/>
      </top>
      <bottom style="thin">
        <color rgb="FFACC8BD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thin">
        <color rgb="FFACC8BD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ACC8BD"/>
      </bottom>
      <diagonal/>
    </border>
    <border>
      <left style="medium">
        <color indexed="64"/>
      </left>
      <right/>
      <top style="thin">
        <color rgb="FFACC8BD"/>
      </top>
      <bottom style="thin">
        <color rgb="FFACC8BD"/>
      </bottom>
      <diagonal/>
    </border>
    <border>
      <left style="medium">
        <color indexed="64"/>
      </left>
      <right style="medium">
        <color indexed="64"/>
      </right>
      <top style="thin">
        <color rgb="FFACC8BD"/>
      </top>
      <bottom style="thin">
        <color rgb="FFACC8BD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ACC8BD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291">
    <xf numFmtId="0" fontId="0" fillId="0" borderId="0" xfId="0"/>
    <xf numFmtId="0" fontId="2" fillId="0" borderId="0" xfId="0" applyFont="1"/>
    <xf numFmtId="0" fontId="2" fillId="0" borderId="0" xfId="0" applyFont="1" applyFill="1" applyAlignment="1">
      <alignment horizontal="center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4" fontId="0" fillId="0" borderId="0" xfId="0" applyNumberFormat="1" applyAlignment="1"/>
    <xf numFmtId="4" fontId="1" fillId="0" borderId="0" xfId="0" applyNumberFormat="1" applyFont="1"/>
    <xf numFmtId="2" fontId="1" fillId="0" borderId="0" xfId="0" applyNumberFormat="1" applyFont="1" applyAlignment="1">
      <alignment horizontal="center"/>
    </xf>
    <xf numFmtId="4" fontId="3" fillId="0" borderId="0" xfId="0" applyNumberFormat="1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0" xfId="0" applyAlignment="1"/>
    <xf numFmtId="0" fontId="1" fillId="0" borderId="1" xfId="0" applyFont="1" applyBorder="1" applyAlignment="1"/>
    <xf numFmtId="0" fontId="1" fillId="0" borderId="2" xfId="0" applyFont="1" applyBorder="1" applyAlignment="1"/>
    <xf numFmtId="0" fontId="0" fillId="0" borderId="3" xfId="0" applyBorder="1"/>
    <xf numFmtId="0" fontId="0" fillId="0" borderId="10" xfId="0" applyBorder="1" applyAlignment="1">
      <alignment horizontal="center"/>
    </xf>
    <xf numFmtId="0" fontId="1" fillId="0" borderId="13" xfId="0" applyFont="1" applyBorder="1" applyAlignment="1"/>
    <xf numFmtId="0" fontId="1" fillId="0" borderId="14" xfId="0" applyFont="1" applyBorder="1" applyAlignment="1"/>
    <xf numFmtId="0" fontId="1" fillId="0" borderId="15" xfId="0" applyFont="1" applyBorder="1" applyAlignment="1"/>
    <xf numFmtId="0" fontId="2" fillId="0" borderId="0" xfId="0" applyFont="1" applyAlignment="1"/>
    <xf numFmtId="4" fontId="1" fillId="0" borderId="0" xfId="0" applyNumberFormat="1" applyFont="1" applyAlignment="1">
      <alignment horizontal="center"/>
    </xf>
    <xf numFmtId="4" fontId="0" fillId="0" borderId="0" xfId="0" applyNumberFormat="1"/>
    <xf numFmtId="4" fontId="6" fillId="0" borderId="0" xfId="0" applyNumberFormat="1" applyFont="1"/>
    <xf numFmtId="4" fontId="4" fillId="0" borderId="0" xfId="0" applyNumberFormat="1" applyFont="1" applyAlignment="1">
      <alignment horizontal="left"/>
    </xf>
    <xf numFmtId="0" fontId="0" fillId="0" borderId="0" xfId="0" applyFill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0" fontId="1" fillId="0" borderId="0" xfId="0" applyFont="1"/>
    <xf numFmtId="1" fontId="0" fillId="0" borderId="0" xfId="0" applyNumberFormat="1" applyAlignment="1">
      <alignment horizontal="center"/>
    </xf>
    <xf numFmtId="0" fontId="1" fillId="0" borderId="0" xfId="0" applyFont="1" applyAlignment="1">
      <alignment horizontal="left"/>
    </xf>
    <xf numFmtId="0" fontId="0" fillId="0" borderId="10" xfId="0" applyFill="1" applyBorder="1" applyAlignment="1">
      <alignment horizontal="center"/>
    </xf>
    <xf numFmtId="0" fontId="7" fillId="0" borderId="0" xfId="0" applyFont="1" applyAlignment="1">
      <alignment horizontal="right"/>
    </xf>
    <xf numFmtId="49" fontId="0" fillId="0" borderId="0" xfId="0" applyNumberFormat="1"/>
    <xf numFmtId="4" fontId="0" fillId="2" borderId="0" xfId="0" applyNumberFormat="1" applyFill="1"/>
    <xf numFmtId="4" fontId="1" fillId="2" borderId="0" xfId="0" applyNumberFormat="1" applyFont="1" applyFill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Fill="1" applyBorder="1" applyAlignment="1">
      <alignment horizontal="left"/>
    </xf>
    <xf numFmtId="0" fontId="2" fillId="0" borderId="0" xfId="0" applyFont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Font="1" applyBorder="1"/>
    <xf numFmtId="0" fontId="0" fillId="0" borderId="0" xfId="0" applyBorder="1"/>
    <xf numFmtId="0" fontId="3" fillId="0" borderId="0" xfId="0" applyFont="1" applyAlignment="1">
      <alignment horizontal="center"/>
    </xf>
    <xf numFmtId="17" fontId="1" fillId="3" borderId="0" xfId="0" applyNumberFormat="1" applyFont="1" applyFill="1" applyAlignment="1">
      <alignment horizontal="center"/>
    </xf>
    <xf numFmtId="17" fontId="1" fillId="0" borderId="0" xfId="0" applyNumberFormat="1" applyFont="1" applyAlignment="1">
      <alignment horizontal="center"/>
    </xf>
    <xf numFmtId="0" fontId="0" fillId="3" borderId="0" xfId="0" applyFill="1"/>
    <xf numFmtId="0" fontId="0" fillId="0" borderId="0" xfId="0" applyFill="1"/>
    <xf numFmtId="0" fontId="0" fillId="4" borderId="0" xfId="0" applyFill="1"/>
    <xf numFmtId="0" fontId="0" fillId="0" borderId="0" xfId="0" applyFill="1" applyAlignment="1">
      <alignment horizontal="center"/>
    </xf>
    <xf numFmtId="0" fontId="10" fillId="0" borderId="0" xfId="1" applyFont="1" applyBorder="1" applyAlignment="1">
      <alignment vertical="top" wrapText="1"/>
    </xf>
    <xf numFmtId="17" fontId="0" fillId="0" borderId="0" xfId="0" applyNumberFormat="1" applyFill="1"/>
    <xf numFmtId="0" fontId="10" fillId="0" borderId="16" xfId="1" applyFont="1" applyBorder="1" applyAlignment="1">
      <alignment vertical="top" wrapText="1"/>
    </xf>
    <xf numFmtId="0" fontId="11" fillId="0" borderId="0" xfId="0" applyFont="1" applyFill="1" applyBorder="1"/>
    <xf numFmtId="0" fontId="11" fillId="0" borderId="0" xfId="0" applyFont="1"/>
    <xf numFmtId="0" fontId="0" fillId="0" borderId="0" xfId="0" applyAlignment="1">
      <alignment horizontal="center"/>
    </xf>
    <xf numFmtId="1" fontId="0" fillId="0" borderId="18" xfId="0" applyNumberFormat="1" applyBorder="1" applyAlignment="1">
      <alignment horizontal="right" vertical="top" wrapText="1"/>
    </xf>
    <xf numFmtId="164" fontId="0" fillId="0" borderId="18" xfId="0" applyNumberFormat="1" applyBorder="1" applyAlignment="1">
      <alignment horizontal="right" vertical="top" wrapText="1"/>
    </xf>
    <xf numFmtId="0" fontId="10" fillId="0" borderId="17" xfId="0" applyFont="1" applyBorder="1" applyAlignment="1">
      <alignment horizontal="center" vertical="top" wrapText="1"/>
    </xf>
    <xf numFmtId="17" fontId="1" fillId="4" borderId="0" xfId="0" applyNumberFormat="1" applyFont="1" applyFill="1" applyAlignment="1">
      <alignment horizontal="center"/>
    </xf>
    <xf numFmtId="0" fontId="1" fillId="0" borderId="0" xfId="0" applyFont="1" applyAlignment="1">
      <alignment horizontal="center"/>
    </xf>
    <xf numFmtId="2" fontId="13" fillId="0" borderId="0" xfId="0" applyNumberFormat="1" applyFont="1" applyFill="1" applyBorder="1" applyAlignment="1">
      <alignment horizontal="center" wrapText="1"/>
    </xf>
    <xf numFmtId="0" fontId="0" fillId="0" borderId="2" xfId="0" applyBorder="1"/>
    <xf numFmtId="0" fontId="1" fillId="0" borderId="13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8" fillId="0" borderId="0" xfId="0" applyFont="1" applyBorder="1"/>
    <xf numFmtId="0" fontId="8" fillId="0" borderId="0" xfId="0" applyFont="1"/>
    <xf numFmtId="0" fontId="11" fillId="0" borderId="0" xfId="0" applyFont="1" applyFill="1"/>
    <xf numFmtId="0" fontId="14" fillId="0" borderId="0" xfId="0" applyFont="1" applyFill="1" applyAlignment="1">
      <alignment horizontal="right"/>
    </xf>
    <xf numFmtId="0" fontId="15" fillId="0" borderId="0" xfId="0" applyFont="1" applyFill="1"/>
    <xf numFmtId="0" fontId="15" fillId="0" borderId="0" xfId="0" applyFont="1" applyFill="1" applyAlignment="1">
      <alignment horizontal="center"/>
    </xf>
    <xf numFmtId="0" fontId="15" fillId="0" borderId="0" xfId="0" applyFont="1" applyFill="1" applyAlignment="1">
      <alignment horizontal="right"/>
    </xf>
    <xf numFmtId="0" fontId="15" fillId="0" borderId="0" xfId="0" applyFont="1" applyFill="1" applyAlignment="1"/>
    <xf numFmtId="0" fontId="16" fillId="0" borderId="0" xfId="0" applyFont="1" applyFill="1" applyAlignment="1">
      <alignment horizontal="left"/>
    </xf>
    <xf numFmtId="0" fontId="11" fillId="0" borderId="0" xfId="0" applyFont="1" applyFill="1" applyAlignment="1">
      <alignment horizontal="center"/>
    </xf>
    <xf numFmtId="0" fontId="17" fillId="0" borderId="0" xfId="0" applyFont="1" applyFill="1" applyAlignment="1">
      <alignment horizontal="center"/>
    </xf>
    <xf numFmtId="4" fontId="11" fillId="0" borderId="0" xfId="0" applyNumberFormat="1" applyFont="1" applyFill="1" applyAlignment="1"/>
    <xf numFmtId="4" fontId="19" fillId="0" borderId="0" xfId="0" applyNumberFormat="1" applyFont="1" applyFill="1"/>
    <xf numFmtId="2" fontId="17" fillId="0" borderId="0" xfId="0" applyNumberFormat="1" applyFont="1" applyFill="1" applyAlignment="1">
      <alignment horizontal="center"/>
    </xf>
    <xf numFmtId="4" fontId="11" fillId="0" borderId="0" xfId="0" applyNumberFormat="1" applyFont="1" applyFill="1"/>
    <xf numFmtId="0" fontId="17" fillId="0" borderId="0" xfId="0" applyFont="1" applyFill="1" applyAlignment="1">
      <alignment horizontal="left"/>
    </xf>
    <xf numFmtId="0" fontId="11" fillId="0" borderId="0" xfId="0" applyFont="1" applyFill="1" applyAlignment="1">
      <alignment horizontal="left"/>
    </xf>
    <xf numFmtId="4" fontId="16" fillId="0" borderId="0" xfId="0" applyNumberFormat="1" applyFont="1" applyFill="1" applyAlignment="1">
      <alignment horizontal="left"/>
    </xf>
    <xf numFmtId="0" fontId="18" fillId="0" borderId="0" xfId="0" applyFont="1" applyFill="1" applyAlignment="1">
      <alignment horizontal="center"/>
    </xf>
    <xf numFmtId="4" fontId="17" fillId="0" borderId="0" xfId="0" applyNumberFormat="1" applyFont="1" applyFill="1"/>
    <xf numFmtId="0" fontId="11" fillId="0" borderId="0" xfId="0" applyFont="1" applyFill="1" applyAlignment="1"/>
    <xf numFmtId="4" fontId="20" fillId="0" borderId="0" xfId="0" applyNumberFormat="1" applyFont="1" applyFill="1"/>
    <xf numFmtId="0" fontId="18" fillId="0" borderId="0" xfId="0" applyFont="1" applyFill="1" applyAlignment="1">
      <alignment horizontal="left"/>
    </xf>
    <xf numFmtId="4" fontId="17" fillId="0" borderId="0" xfId="0" applyNumberFormat="1" applyFont="1" applyFill="1" applyAlignment="1">
      <alignment horizontal="center"/>
    </xf>
    <xf numFmtId="0" fontId="17" fillId="0" borderId="1" xfId="0" applyFont="1" applyFill="1" applyBorder="1" applyAlignment="1">
      <alignment horizontal="center"/>
    </xf>
    <xf numFmtId="0" fontId="17" fillId="0" borderId="1" xfId="0" applyFont="1" applyFill="1" applyBorder="1" applyAlignment="1"/>
    <xf numFmtId="0" fontId="17" fillId="0" borderId="2" xfId="0" applyFont="1" applyFill="1" applyBorder="1" applyAlignment="1">
      <alignment horizontal="center"/>
    </xf>
    <xf numFmtId="0" fontId="17" fillId="0" borderId="2" xfId="0" applyFont="1" applyFill="1" applyBorder="1" applyAlignment="1"/>
    <xf numFmtId="0" fontId="11" fillId="0" borderId="10" xfId="0" applyFont="1" applyFill="1" applyBorder="1" applyAlignment="1">
      <alignment horizontal="center"/>
    </xf>
    <xf numFmtId="0" fontId="11" fillId="0" borderId="8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0" fontId="18" fillId="0" borderId="10" xfId="0" applyFont="1" applyFill="1" applyBorder="1" applyAlignment="1">
      <alignment horizontal="center"/>
    </xf>
    <xf numFmtId="0" fontId="11" fillId="0" borderId="9" xfId="0" applyFont="1" applyFill="1" applyBorder="1" applyAlignment="1">
      <alignment horizontal="center"/>
    </xf>
    <xf numFmtId="0" fontId="11" fillId="0" borderId="8" xfId="0" applyFont="1" applyFill="1" applyBorder="1"/>
    <xf numFmtId="0" fontId="11" fillId="0" borderId="2" xfId="0" applyFont="1" applyFill="1" applyBorder="1" applyAlignment="1"/>
    <xf numFmtId="0" fontId="11" fillId="0" borderId="3" xfId="0" applyFont="1" applyFill="1" applyBorder="1"/>
    <xf numFmtId="0" fontId="17" fillId="0" borderId="13" xfId="0" applyFont="1" applyFill="1" applyBorder="1" applyAlignment="1"/>
    <xf numFmtId="0" fontId="17" fillId="0" borderId="14" xfId="0" applyFont="1" applyFill="1" applyBorder="1" applyAlignment="1"/>
    <xf numFmtId="0" fontId="17" fillId="0" borderId="15" xfId="0" applyFont="1" applyFill="1" applyBorder="1" applyAlignment="1"/>
    <xf numFmtId="0" fontId="11" fillId="0" borderId="13" xfId="0" applyFont="1" applyFill="1" applyBorder="1"/>
    <xf numFmtId="0" fontId="11" fillId="0" borderId="1" xfId="0" applyFont="1" applyFill="1" applyBorder="1" applyAlignment="1">
      <alignment horizontal="center"/>
    </xf>
    <xf numFmtId="0" fontId="11" fillId="0" borderId="2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right"/>
    </xf>
    <xf numFmtId="0" fontId="17" fillId="0" borderId="0" xfId="0" applyFont="1" applyFill="1" applyBorder="1" applyAlignment="1">
      <alignment horizontal="left"/>
    </xf>
    <xf numFmtId="0" fontId="17" fillId="0" borderId="0" xfId="0" applyFont="1" applyFill="1"/>
    <xf numFmtId="1" fontId="11" fillId="0" borderId="0" xfId="0" applyNumberFormat="1" applyFont="1" applyFill="1" applyAlignment="1">
      <alignment horizontal="center"/>
    </xf>
    <xf numFmtId="0" fontId="11" fillId="0" borderId="0" xfId="0" applyFont="1" applyFill="1" applyAlignment="1">
      <alignment horizontal="right"/>
    </xf>
    <xf numFmtId="2" fontId="19" fillId="0" borderId="0" xfId="0" applyNumberFormat="1" applyFont="1" applyFill="1" applyAlignment="1">
      <alignment horizontal="center"/>
    </xf>
    <xf numFmtId="4" fontId="12" fillId="0" borderId="0" xfId="0" applyNumberFormat="1" applyFont="1" applyFill="1" applyBorder="1" applyAlignment="1">
      <alignment horizontal="center" wrapText="1"/>
    </xf>
    <xf numFmtId="4" fontId="0" fillId="0" borderId="0" xfId="0" applyNumberFormat="1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4" fontId="0" fillId="2" borderId="0" xfId="0" applyNumberFormat="1" applyFill="1" applyBorder="1" applyAlignment="1">
      <alignment horizontal="center"/>
    </xf>
    <xf numFmtId="0" fontId="0" fillId="0" borderId="13" xfId="0" applyBorder="1"/>
    <xf numFmtId="0" fontId="0" fillId="6" borderId="14" xfId="0" applyFill="1" applyBorder="1"/>
    <xf numFmtId="0" fontId="0" fillId="2" borderId="14" xfId="0" applyFill="1" applyBorder="1"/>
    <xf numFmtId="4" fontId="0" fillId="2" borderId="14" xfId="0" applyNumberFormat="1" applyFill="1" applyBorder="1" applyAlignment="1">
      <alignment horizontal="center"/>
    </xf>
    <xf numFmtId="4" fontId="0" fillId="6" borderId="15" xfId="0" applyNumberFormat="1" applyFill="1" applyBorder="1" applyAlignment="1">
      <alignment horizontal="center"/>
    </xf>
    <xf numFmtId="0" fontId="21" fillId="5" borderId="19" xfId="0" applyFont="1" applyFill="1" applyBorder="1" applyAlignment="1">
      <alignment horizontal="left" vertical="top" wrapText="1"/>
    </xf>
    <xf numFmtId="4" fontId="21" fillId="6" borderId="19" xfId="0" applyNumberFormat="1" applyFont="1" applyFill="1" applyBorder="1" applyAlignment="1">
      <alignment horizontal="right" vertical="top"/>
    </xf>
    <xf numFmtId="4" fontId="21" fillId="2" borderId="20" xfId="0" applyNumberFormat="1" applyFont="1" applyFill="1" applyBorder="1" applyAlignment="1">
      <alignment horizontal="right" vertical="top"/>
    </xf>
    <xf numFmtId="4" fontId="0" fillId="2" borderId="11" xfId="0" applyNumberFormat="1" applyFill="1" applyBorder="1" applyAlignment="1">
      <alignment horizontal="center"/>
    </xf>
    <xf numFmtId="4" fontId="0" fillId="6" borderId="1" xfId="0" applyNumberFormat="1" applyFill="1" applyBorder="1" applyAlignment="1">
      <alignment horizontal="center"/>
    </xf>
    <xf numFmtId="0" fontId="21" fillId="5" borderId="21" xfId="0" applyFont="1" applyFill="1" applyBorder="1" applyAlignment="1">
      <alignment horizontal="left" vertical="top" wrapText="1"/>
    </xf>
    <xf numFmtId="4" fontId="21" fillId="6" borderId="21" xfId="0" applyNumberFormat="1" applyFont="1" applyFill="1" applyBorder="1" applyAlignment="1">
      <alignment horizontal="right" vertical="top"/>
    </xf>
    <xf numFmtId="4" fontId="21" fillId="2" borderId="22" xfId="0" applyNumberFormat="1" applyFont="1" applyFill="1" applyBorder="1" applyAlignment="1">
      <alignment horizontal="right" vertical="top"/>
    </xf>
    <xf numFmtId="4" fontId="0" fillId="6" borderId="10" xfId="0" applyNumberFormat="1" applyFill="1" applyBorder="1" applyAlignment="1">
      <alignment horizontal="center"/>
    </xf>
    <xf numFmtId="2" fontId="21" fillId="6" borderId="21" xfId="0" applyNumberFormat="1" applyFont="1" applyFill="1" applyBorder="1" applyAlignment="1">
      <alignment horizontal="right" vertical="top"/>
    </xf>
    <xf numFmtId="2" fontId="21" fillId="2" borderId="22" xfId="0" applyNumberFormat="1" applyFont="1" applyFill="1" applyBorder="1" applyAlignment="1">
      <alignment horizontal="right" vertical="top"/>
    </xf>
    <xf numFmtId="4" fontId="0" fillId="2" borderId="23" xfId="0" applyNumberFormat="1" applyFill="1" applyBorder="1" applyAlignment="1">
      <alignment horizontal="center"/>
    </xf>
    <xf numFmtId="0" fontId="21" fillId="5" borderId="24" xfId="0" applyFont="1" applyFill="1" applyBorder="1" applyAlignment="1">
      <alignment horizontal="left" vertical="top" wrapText="1"/>
    </xf>
    <xf numFmtId="4" fontId="21" fillId="6" borderId="8" xfId="0" applyNumberFormat="1" applyFont="1" applyFill="1" applyBorder="1" applyAlignment="1">
      <alignment horizontal="right" vertical="top"/>
    </xf>
    <xf numFmtId="4" fontId="21" fillId="2" borderId="10" xfId="0" applyNumberFormat="1" applyFont="1" applyFill="1" applyBorder="1" applyAlignment="1">
      <alignment horizontal="right" vertical="top"/>
    </xf>
    <xf numFmtId="0" fontId="21" fillId="5" borderId="10" xfId="0" applyFont="1" applyFill="1" applyBorder="1" applyAlignment="1">
      <alignment horizontal="left" vertical="top" wrapText="1"/>
    </xf>
    <xf numFmtId="0" fontId="21" fillId="5" borderId="25" xfId="0" applyFont="1" applyFill="1" applyBorder="1" applyAlignment="1">
      <alignment horizontal="left" vertical="top" wrapText="1"/>
    </xf>
    <xf numFmtId="4" fontId="21" fillId="6" borderId="26" xfId="0" applyNumberFormat="1" applyFont="1" applyFill="1" applyBorder="1" applyAlignment="1">
      <alignment horizontal="right" vertical="top"/>
    </xf>
    <xf numFmtId="4" fontId="21" fillId="2" borderId="25" xfId="0" applyNumberFormat="1" applyFont="1" applyFill="1" applyBorder="1" applyAlignment="1">
      <alignment horizontal="right" vertical="top"/>
    </xf>
    <xf numFmtId="4" fontId="0" fillId="6" borderId="25" xfId="0" applyNumberFormat="1" applyFill="1" applyBorder="1" applyAlignment="1">
      <alignment horizontal="center"/>
    </xf>
    <xf numFmtId="0" fontId="0" fillId="0" borderId="6" xfId="0" applyBorder="1"/>
    <xf numFmtId="4" fontId="0" fillId="0" borderId="12" xfId="0" applyNumberFormat="1" applyBorder="1"/>
    <xf numFmtId="0" fontId="1" fillId="0" borderId="12" xfId="0" applyFont="1" applyBorder="1"/>
    <xf numFmtId="4" fontId="0" fillId="0" borderId="12" xfId="0" applyNumberFormat="1" applyBorder="1" applyAlignment="1">
      <alignment horizontal="center"/>
    </xf>
    <xf numFmtId="4" fontId="0" fillId="0" borderId="7" xfId="0" applyNumberFormat="1" applyBorder="1" applyAlignment="1">
      <alignment horizontal="center"/>
    </xf>
    <xf numFmtId="0" fontId="11" fillId="0" borderId="0" xfId="0" applyFont="1" applyFill="1" applyBorder="1" applyAlignment="1">
      <alignment horizontal="left"/>
    </xf>
    <xf numFmtId="0" fontId="17" fillId="0" borderId="6" xfId="0" applyFont="1" applyFill="1" applyBorder="1" applyAlignment="1">
      <alignment horizontal="center"/>
    </xf>
    <xf numFmtId="0" fontId="11" fillId="0" borderId="0" xfId="0" applyFont="1" applyFill="1" applyAlignment="1">
      <alignment horizontal="left"/>
    </xf>
    <xf numFmtId="0" fontId="11" fillId="0" borderId="8" xfId="0" applyFont="1" applyFill="1" applyBorder="1" applyAlignment="1">
      <alignment horizontal="center"/>
    </xf>
    <xf numFmtId="0" fontId="11" fillId="0" borderId="9" xfId="0" applyFont="1" applyFill="1" applyBorder="1" applyAlignment="1">
      <alignment horizontal="center"/>
    </xf>
    <xf numFmtId="0" fontId="15" fillId="0" borderId="0" xfId="0" applyFont="1" applyFill="1" applyAlignment="1">
      <alignment horizontal="center"/>
    </xf>
    <xf numFmtId="0" fontId="17" fillId="0" borderId="4" xfId="0" applyFont="1" applyFill="1" applyBorder="1" applyAlignment="1">
      <alignment horizontal="center"/>
    </xf>
    <xf numFmtId="0" fontId="11" fillId="0" borderId="0" xfId="0" applyFont="1" applyFill="1" applyAlignment="1">
      <alignment horizontal="center"/>
    </xf>
    <xf numFmtId="0" fontId="0" fillId="0" borderId="0" xfId="0" applyFill="1" applyBorder="1" applyAlignment="1">
      <alignment horizontal="left"/>
    </xf>
    <xf numFmtId="164" fontId="11" fillId="0" borderId="10" xfId="0" applyNumberFormat="1" applyFont="1" applyFill="1" applyBorder="1" applyAlignment="1">
      <alignment horizontal="center"/>
    </xf>
    <xf numFmtId="4" fontId="0" fillId="0" borderId="0" xfId="0" applyNumberFormat="1" applyFill="1"/>
    <xf numFmtId="0" fontId="11" fillId="0" borderId="9" xfId="0" applyFont="1" applyFill="1" applyBorder="1" applyAlignment="1">
      <alignment horizontal="center"/>
    </xf>
    <xf numFmtId="0" fontId="0" fillId="0" borderId="10" xfId="0" applyFont="1" applyBorder="1" applyAlignment="1">
      <alignment horizontal="center"/>
    </xf>
    <xf numFmtId="0" fontId="0" fillId="0" borderId="0" xfId="0" applyFill="1" applyBorder="1"/>
    <xf numFmtId="0" fontId="0" fillId="0" borderId="10" xfId="0" applyFont="1" applyFill="1" applyBorder="1" applyAlignment="1">
      <alignment horizontal="center"/>
    </xf>
    <xf numFmtId="0" fontId="0" fillId="0" borderId="8" xfId="0" applyFill="1" applyBorder="1" applyAlignment="1">
      <alignment horizontal="center" vertical="center"/>
    </xf>
    <xf numFmtId="0" fontId="0" fillId="0" borderId="8" xfId="0" applyFill="1" applyBorder="1" applyAlignment="1">
      <alignment horizontal="center"/>
    </xf>
    <xf numFmtId="0" fontId="11" fillId="0" borderId="8" xfId="0" applyFont="1" applyFill="1" applyBorder="1" applyAlignment="1">
      <alignment horizontal="center"/>
    </xf>
    <xf numFmtId="0" fontId="11" fillId="0" borderId="9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 applyFill="1" applyBorder="1" applyAlignment="1">
      <alignment horizontal="left"/>
    </xf>
    <xf numFmtId="0" fontId="0" fillId="0" borderId="0" xfId="0" applyFill="1" applyBorder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11" fillId="0" borderId="8" xfId="0" applyFont="1" applyFill="1" applyBorder="1" applyAlignment="1">
      <alignment horizontal="center"/>
    </xf>
    <xf numFmtId="0" fontId="11" fillId="0" borderId="0" xfId="0" applyFont="1" applyFill="1" applyAlignment="1">
      <alignment horizontal="center"/>
    </xf>
    <xf numFmtId="0" fontId="11" fillId="0" borderId="0" xfId="0" applyFont="1" applyFill="1" applyBorder="1" applyAlignment="1">
      <alignment horizontal="left"/>
    </xf>
    <xf numFmtId="0" fontId="0" fillId="0" borderId="0" xfId="0" applyAlignment="1">
      <alignment horizontal="center"/>
    </xf>
    <xf numFmtId="0" fontId="11" fillId="0" borderId="8" xfId="0" applyFont="1" applyFill="1" applyBorder="1" applyAlignment="1">
      <alignment horizontal="center"/>
    </xf>
    <xf numFmtId="49" fontId="11" fillId="0" borderId="0" xfId="0" applyNumberFormat="1" applyFont="1" applyFill="1" applyBorder="1" applyAlignment="1">
      <alignment horizontal="left"/>
    </xf>
    <xf numFmtId="0" fontId="17" fillId="0" borderId="6" xfId="0" applyFont="1" applyFill="1" applyBorder="1" applyAlignment="1">
      <alignment horizontal="center"/>
    </xf>
    <xf numFmtId="0" fontId="17" fillId="0" borderId="7" xfId="0" applyFont="1" applyFill="1" applyBorder="1" applyAlignment="1">
      <alignment horizontal="center"/>
    </xf>
    <xf numFmtId="4" fontId="11" fillId="0" borderId="4" xfId="0" applyNumberFormat="1" applyFont="1" applyFill="1" applyBorder="1" applyAlignment="1"/>
    <xf numFmtId="4" fontId="11" fillId="0" borderId="5" xfId="0" applyNumberFormat="1" applyFont="1" applyFill="1" applyBorder="1" applyAlignment="1"/>
    <xf numFmtId="0" fontId="11" fillId="0" borderId="6" xfId="0" applyFont="1" applyFill="1" applyBorder="1" applyAlignment="1">
      <alignment horizontal="center"/>
    </xf>
    <xf numFmtId="0" fontId="11" fillId="0" borderId="12" xfId="0" applyFont="1" applyFill="1" applyBorder="1" applyAlignment="1">
      <alignment horizontal="center"/>
    </xf>
    <xf numFmtId="0" fontId="11" fillId="0" borderId="7" xfId="0" applyFont="1" applyFill="1" applyBorder="1" applyAlignment="1">
      <alignment horizontal="center"/>
    </xf>
    <xf numFmtId="0" fontId="11" fillId="0" borderId="8" xfId="0" applyFont="1" applyFill="1" applyBorder="1" applyAlignment="1">
      <alignment horizontal="left" wrapText="1"/>
    </xf>
    <xf numFmtId="0" fontId="11" fillId="0" borderId="0" xfId="0" applyFont="1" applyFill="1" applyAlignment="1">
      <alignment horizontal="left"/>
    </xf>
    <xf numFmtId="0" fontId="11" fillId="0" borderId="9" xfId="0" applyFont="1" applyFill="1" applyBorder="1" applyAlignment="1">
      <alignment horizontal="left"/>
    </xf>
    <xf numFmtId="4" fontId="11" fillId="0" borderId="6" xfId="0" applyNumberFormat="1" applyFont="1" applyFill="1" applyBorder="1" applyAlignment="1">
      <alignment horizontal="right"/>
    </xf>
    <xf numFmtId="4" fontId="11" fillId="0" borderId="7" xfId="0" applyNumberFormat="1" applyFont="1" applyFill="1" applyBorder="1" applyAlignment="1">
      <alignment horizontal="right"/>
    </xf>
    <xf numFmtId="0" fontId="11" fillId="0" borderId="8" xfId="0" applyFont="1" applyFill="1" applyBorder="1" applyAlignment="1">
      <alignment horizontal="left"/>
    </xf>
    <xf numFmtId="0" fontId="11" fillId="0" borderId="0" xfId="0" applyFont="1" applyFill="1" applyBorder="1" applyAlignment="1">
      <alignment horizontal="left"/>
    </xf>
    <xf numFmtId="4" fontId="11" fillId="0" borderId="8" xfId="0" applyNumberFormat="1" applyFont="1" applyFill="1" applyBorder="1" applyAlignment="1">
      <alignment horizontal="right"/>
    </xf>
    <xf numFmtId="4" fontId="11" fillId="0" borderId="9" xfId="0" applyNumberFormat="1" applyFont="1" applyFill="1" applyBorder="1" applyAlignment="1">
      <alignment horizontal="right"/>
    </xf>
    <xf numFmtId="4" fontId="11" fillId="0" borderId="8" xfId="0" applyNumberFormat="1" applyFont="1" applyFill="1" applyBorder="1" applyAlignment="1"/>
    <xf numFmtId="4" fontId="11" fillId="0" borderId="9" xfId="0" applyNumberFormat="1" applyFont="1" applyFill="1" applyBorder="1" applyAlignment="1"/>
    <xf numFmtId="0" fontId="11" fillId="0" borderId="8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0" fontId="11" fillId="0" borderId="9" xfId="0" applyFont="1" applyFill="1" applyBorder="1" applyAlignment="1">
      <alignment horizontal="center"/>
    </xf>
    <xf numFmtId="4" fontId="19" fillId="0" borderId="13" xfId="0" applyNumberFormat="1" applyFont="1" applyFill="1" applyBorder="1" applyAlignment="1">
      <alignment horizontal="right"/>
    </xf>
    <xf numFmtId="4" fontId="19" fillId="0" borderId="15" xfId="0" applyNumberFormat="1" applyFont="1" applyFill="1" applyBorder="1" applyAlignment="1">
      <alignment horizontal="right"/>
    </xf>
    <xf numFmtId="0" fontId="17" fillId="0" borderId="6" xfId="0" applyFont="1" applyFill="1" applyBorder="1" applyAlignment="1">
      <alignment horizontal="center" vertical="top"/>
    </xf>
    <xf numFmtId="0" fontId="17" fillId="0" borderId="12" xfId="0" applyFont="1" applyFill="1" applyBorder="1" applyAlignment="1">
      <alignment horizontal="center" vertical="top"/>
    </xf>
    <xf numFmtId="0" fontId="17" fillId="0" borderId="7" xfId="0" applyFont="1" applyFill="1" applyBorder="1" applyAlignment="1">
      <alignment horizontal="center" vertical="top"/>
    </xf>
    <xf numFmtId="0" fontId="11" fillId="0" borderId="4" xfId="0" applyFont="1" applyFill="1" applyBorder="1" applyAlignment="1">
      <alignment horizontal="center"/>
    </xf>
    <xf numFmtId="0" fontId="11" fillId="0" borderId="11" xfId="0" applyFont="1" applyFill="1" applyBorder="1" applyAlignment="1">
      <alignment horizontal="center"/>
    </xf>
    <xf numFmtId="0" fontId="11" fillId="0" borderId="5" xfId="0" applyFont="1" applyFill="1" applyBorder="1" applyAlignment="1">
      <alignment horizontal="center"/>
    </xf>
    <xf numFmtId="0" fontId="17" fillId="0" borderId="4" xfId="0" applyFont="1" applyFill="1" applyBorder="1" applyAlignment="1">
      <alignment horizontal="center" vertical="top"/>
    </xf>
    <xf numFmtId="0" fontId="17" fillId="0" borderId="11" xfId="0" applyFont="1" applyFill="1" applyBorder="1" applyAlignment="1">
      <alignment horizontal="center" vertical="top"/>
    </xf>
    <xf numFmtId="0" fontId="17" fillId="0" borderId="5" xfId="0" applyFont="1" applyFill="1" applyBorder="1" applyAlignment="1">
      <alignment horizontal="center" vertical="top"/>
    </xf>
    <xf numFmtId="0" fontId="11" fillId="0" borderId="11" xfId="0" applyFont="1" applyFill="1" applyBorder="1" applyAlignment="1">
      <alignment horizontal="left"/>
    </xf>
    <xf numFmtId="0" fontId="11" fillId="0" borderId="5" xfId="0" applyFont="1" applyFill="1" applyBorder="1" applyAlignment="1">
      <alignment horizontal="left"/>
    </xf>
    <xf numFmtId="0" fontId="15" fillId="0" borderId="0" xfId="0" applyFont="1" applyFill="1" applyAlignment="1">
      <alignment horizontal="center"/>
    </xf>
    <xf numFmtId="4" fontId="19" fillId="0" borderId="0" xfId="0" applyNumberFormat="1" applyFont="1" applyFill="1" applyAlignment="1">
      <alignment horizontal="right"/>
    </xf>
    <xf numFmtId="4" fontId="17" fillId="0" borderId="0" xfId="0" applyNumberFormat="1" applyFont="1" applyFill="1" applyAlignment="1">
      <alignment horizontal="right"/>
    </xf>
    <xf numFmtId="0" fontId="17" fillId="0" borderId="4" xfId="0" applyFont="1" applyFill="1" applyBorder="1" applyAlignment="1">
      <alignment horizontal="center"/>
    </xf>
    <xf numFmtId="0" fontId="17" fillId="0" borderId="5" xfId="0" applyFont="1" applyFill="1" applyBorder="1" applyAlignment="1">
      <alignment horizontal="center"/>
    </xf>
    <xf numFmtId="0" fontId="17" fillId="0" borderId="11" xfId="0" applyFont="1" applyFill="1" applyBorder="1" applyAlignment="1">
      <alignment horizontal="center"/>
    </xf>
    <xf numFmtId="0" fontId="15" fillId="0" borderId="0" xfId="0" applyFont="1" applyFill="1" applyAlignment="1">
      <alignment horizontal="left"/>
    </xf>
    <xf numFmtId="0" fontId="11" fillId="0" borderId="12" xfId="0" applyFont="1" applyFill="1" applyBorder="1" applyAlignment="1">
      <alignment horizontal="left"/>
    </xf>
    <xf numFmtId="0" fontId="11" fillId="0" borderId="7" xfId="0" applyFont="1" applyFill="1" applyBorder="1" applyAlignment="1">
      <alignment horizontal="left"/>
    </xf>
    <xf numFmtId="0" fontId="11" fillId="0" borderId="0" xfId="0" applyFont="1" applyFill="1" applyAlignment="1">
      <alignment horizontal="center"/>
    </xf>
    <xf numFmtId="4" fontId="0" fillId="0" borderId="0" xfId="0" applyNumberFormat="1" applyBorder="1" applyAlignment="1"/>
    <xf numFmtId="0" fontId="0" fillId="0" borderId="8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9" xfId="0" applyBorder="1" applyAlignment="1">
      <alignment horizontal="left"/>
    </xf>
    <xf numFmtId="4" fontId="0" fillId="0" borderId="8" xfId="0" applyNumberFormat="1" applyBorder="1" applyAlignment="1">
      <alignment horizontal="right"/>
    </xf>
    <xf numFmtId="4" fontId="0" fillId="0" borderId="9" xfId="0" applyNumberFormat="1" applyBorder="1" applyAlignment="1">
      <alignment horizontal="right"/>
    </xf>
    <xf numFmtId="4" fontId="0" fillId="0" borderId="8" xfId="0" applyNumberFormat="1" applyBorder="1" applyAlignment="1"/>
    <xf numFmtId="4" fontId="0" fillId="0" borderId="9" xfId="0" applyNumberFormat="1" applyBorder="1" applyAlignment="1"/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13" xfId="0" applyBorder="1" applyAlignment="1">
      <alignment horizontal="left"/>
    </xf>
    <xf numFmtId="0" fontId="0" fillId="0" borderId="14" xfId="0" applyBorder="1" applyAlignment="1">
      <alignment horizontal="left"/>
    </xf>
    <xf numFmtId="4" fontId="1" fillId="0" borderId="13" xfId="0" applyNumberFormat="1" applyFont="1" applyBorder="1" applyAlignment="1">
      <alignment horizontal="right"/>
    </xf>
    <xf numFmtId="4" fontId="1" fillId="0" borderId="15" xfId="0" applyNumberFormat="1" applyFont="1" applyBorder="1" applyAlignment="1">
      <alignment horizontal="right"/>
    </xf>
    <xf numFmtId="0" fontId="0" fillId="0" borderId="8" xfId="0" applyBorder="1" applyAlignment="1">
      <alignment horizontal="left" wrapText="1"/>
    </xf>
    <xf numFmtId="0" fontId="0" fillId="0" borderId="0" xfId="0" applyAlignment="1">
      <alignment horizontal="left"/>
    </xf>
    <xf numFmtId="0" fontId="0" fillId="0" borderId="8" xfId="0" applyFill="1" applyBorder="1" applyAlignment="1">
      <alignment horizontal="left"/>
    </xf>
    <xf numFmtId="0" fontId="0" fillId="0" borderId="0" xfId="0" applyFill="1" applyBorder="1" applyAlignment="1">
      <alignment horizontal="left"/>
    </xf>
    <xf numFmtId="4" fontId="0" fillId="0" borderId="8" xfId="0" applyNumberFormat="1" applyFont="1" applyBorder="1" applyAlignment="1">
      <alignment horizontal="right"/>
    </xf>
    <xf numFmtId="4" fontId="0" fillId="0" borderId="9" xfId="0" applyNumberFormat="1" applyFont="1" applyBorder="1" applyAlignment="1">
      <alignment horizontal="right"/>
    </xf>
    <xf numFmtId="0" fontId="2" fillId="0" borderId="0" xfId="0" applyFont="1" applyAlignment="1">
      <alignment horizontal="center"/>
    </xf>
    <xf numFmtId="4" fontId="3" fillId="0" borderId="0" xfId="0" applyNumberFormat="1" applyFont="1" applyAlignment="1">
      <alignment horizontal="right"/>
    </xf>
    <xf numFmtId="4" fontId="1" fillId="0" borderId="0" xfId="0" applyNumberFormat="1" applyFont="1" applyAlignment="1">
      <alignment horizontal="right"/>
    </xf>
    <xf numFmtId="0" fontId="1" fillId="0" borderId="4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4" fontId="0" fillId="0" borderId="8" xfId="0" applyNumberFormat="1" applyFont="1" applyBorder="1" applyAlignment="1"/>
    <xf numFmtId="4" fontId="0" fillId="0" borderId="9" xfId="0" applyNumberFormat="1" applyFont="1" applyBorder="1" applyAlignment="1"/>
    <xf numFmtId="0" fontId="0" fillId="0" borderId="8" xfId="0" applyFill="1" applyBorder="1" applyAlignment="1">
      <alignment horizontal="left" wrapText="1"/>
    </xf>
    <xf numFmtId="0" fontId="0" fillId="0" borderId="0" xfId="0" applyFill="1" applyBorder="1" applyAlignment="1">
      <alignment horizontal="left" wrapText="1"/>
    </xf>
    <xf numFmtId="0" fontId="0" fillId="0" borderId="9" xfId="0" applyFill="1" applyBorder="1" applyAlignment="1">
      <alignment horizontal="left" wrapText="1"/>
    </xf>
    <xf numFmtId="0" fontId="0" fillId="0" borderId="9" xfId="0" applyFill="1" applyBorder="1" applyAlignment="1">
      <alignment horizontal="left"/>
    </xf>
    <xf numFmtId="4" fontId="0" fillId="0" borderId="8" xfId="0" applyNumberFormat="1" applyFill="1" applyBorder="1" applyAlignment="1">
      <alignment horizontal="right" vertical="center"/>
    </xf>
    <xf numFmtId="4" fontId="0" fillId="0" borderId="9" xfId="0" applyNumberFormat="1" applyFill="1" applyBorder="1" applyAlignment="1">
      <alignment horizontal="right" vertical="center"/>
    </xf>
    <xf numFmtId="4" fontId="1" fillId="0" borderId="8" xfId="0" applyNumberFormat="1" applyFont="1" applyBorder="1" applyAlignment="1"/>
    <xf numFmtId="4" fontId="1" fillId="0" borderId="9" xfId="0" applyNumberFormat="1" applyFont="1" applyBorder="1" applyAlignment="1"/>
    <xf numFmtId="4" fontId="1" fillId="0" borderId="6" xfId="0" applyNumberFormat="1" applyFont="1" applyBorder="1" applyAlignment="1">
      <alignment horizontal="right"/>
    </xf>
    <xf numFmtId="0" fontId="1" fillId="0" borderId="7" xfId="0" applyFont="1" applyBorder="1" applyAlignment="1">
      <alignment horizontal="right"/>
    </xf>
    <xf numFmtId="4" fontId="3" fillId="0" borderId="6" xfId="0" applyNumberFormat="1" applyFont="1" applyBorder="1" applyAlignment="1"/>
    <xf numFmtId="4" fontId="3" fillId="0" borderId="7" xfId="0" applyNumberFormat="1" applyFont="1" applyBorder="1" applyAlignment="1"/>
    <xf numFmtId="0" fontId="1" fillId="0" borderId="4" xfId="0" applyFont="1" applyBorder="1" applyAlignment="1">
      <alignment horizontal="center" vertical="top"/>
    </xf>
    <xf numFmtId="0" fontId="1" fillId="0" borderId="11" xfId="0" applyFont="1" applyBorder="1" applyAlignment="1">
      <alignment horizontal="center" vertical="top"/>
    </xf>
    <xf numFmtId="0" fontId="1" fillId="0" borderId="5" xfId="0" applyFont="1" applyBorder="1" applyAlignment="1">
      <alignment horizontal="center" vertical="top"/>
    </xf>
    <xf numFmtId="49" fontId="0" fillId="0" borderId="0" xfId="0" applyNumberFormat="1" applyFill="1" applyBorder="1" applyAlignment="1">
      <alignment horizontal="left"/>
    </xf>
    <xf numFmtId="0" fontId="1" fillId="0" borderId="6" xfId="0" applyFont="1" applyBorder="1" applyAlignment="1">
      <alignment horizontal="center" vertical="top"/>
    </xf>
    <xf numFmtId="0" fontId="1" fillId="0" borderId="12" xfId="0" applyFont="1" applyBorder="1" applyAlignment="1">
      <alignment horizontal="center" vertical="top"/>
    </xf>
    <xf numFmtId="0" fontId="1" fillId="0" borderId="7" xfId="0" applyFont="1" applyBorder="1" applyAlignment="1">
      <alignment horizontal="center" vertical="top"/>
    </xf>
    <xf numFmtId="0" fontId="20" fillId="0" borderId="0" xfId="0" applyFont="1" applyFill="1"/>
    <xf numFmtId="0" fontId="11" fillId="0" borderId="0" xfId="0" applyFont="1" applyFill="1" applyAlignment="1">
      <alignment horizontal="center" wrapText="1"/>
    </xf>
    <xf numFmtId="0" fontId="2" fillId="0" borderId="0" xfId="0" applyFont="1" applyFill="1" applyAlignment="1"/>
    <xf numFmtId="4" fontId="3" fillId="0" borderId="0" xfId="0" applyNumberFormat="1" applyFont="1" applyFill="1"/>
    <xf numFmtId="0" fontId="1" fillId="0" borderId="1" xfId="0" applyFont="1" applyFill="1" applyBorder="1" applyAlignment="1"/>
    <xf numFmtId="0" fontId="1" fillId="0" borderId="2" xfId="0" applyFont="1" applyFill="1" applyBorder="1" applyAlignment="1"/>
    <xf numFmtId="0" fontId="1" fillId="0" borderId="13" xfId="0" applyFont="1" applyFill="1" applyBorder="1" applyAlignment="1"/>
    <xf numFmtId="0" fontId="0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3" xfId="0" applyFill="1" applyBorder="1"/>
    <xf numFmtId="49" fontId="0" fillId="0" borderId="0" xfId="0" applyNumberFormat="1" applyFill="1"/>
    <xf numFmtId="4" fontId="1" fillId="0" borderId="0" xfId="0" applyNumberFormat="1" applyFont="1" applyFill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09"/>
  <sheetViews>
    <sheetView topLeftCell="A46" zoomScale="110" zoomScaleNormal="110" workbookViewId="0">
      <selection activeCell="A50" sqref="A50:L65"/>
    </sheetView>
  </sheetViews>
  <sheetFormatPr defaultRowHeight="15"/>
  <cols>
    <col min="1" max="1" width="5.42578125" style="69" customWidth="1"/>
    <col min="2" max="2" width="9.85546875" style="69" customWidth="1"/>
    <col min="3" max="3" width="12.5703125" style="69" customWidth="1"/>
    <col min="4" max="4" width="6.28515625" style="69" customWidth="1"/>
    <col min="5" max="6" width="9.7109375" style="69" customWidth="1"/>
    <col min="7" max="7" width="11.42578125" style="69" customWidth="1"/>
    <col min="8" max="8" width="9" style="69" customWidth="1"/>
    <col min="9" max="9" width="10" style="69" customWidth="1"/>
    <col min="10" max="10" width="12.7109375" style="69" customWidth="1"/>
    <col min="11" max="11" width="9.7109375" style="69" customWidth="1"/>
    <col min="12" max="12" width="4.7109375" style="69" customWidth="1"/>
    <col min="13" max="13" width="18.28515625" customWidth="1"/>
    <col min="15" max="15" width="16" customWidth="1"/>
    <col min="17" max="17" width="4.7109375" customWidth="1"/>
    <col min="18" max="18" width="1.5703125" customWidth="1"/>
    <col min="22" max="22" width="10.85546875" customWidth="1"/>
    <col min="32" max="32" width="10.140625" customWidth="1"/>
  </cols>
  <sheetData>
    <row r="1" spans="1:25">
      <c r="K1" s="70" t="s">
        <v>227</v>
      </c>
    </row>
    <row r="2" spans="1:25" ht="18.75">
      <c r="A2" s="218" t="s">
        <v>0</v>
      </c>
      <c r="B2" s="218"/>
      <c r="C2" s="218"/>
      <c r="D2" s="218"/>
      <c r="E2" s="218"/>
      <c r="F2" s="218"/>
      <c r="G2" s="218"/>
      <c r="H2" s="218"/>
      <c r="I2" s="218"/>
      <c r="J2" s="218"/>
      <c r="K2" s="218"/>
      <c r="L2" s="218"/>
    </row>
    <row r="3" spans="1:25" ht="18.75">
      <c r="A3" s="218" t="s">
        <v>1</v>
      </c>
      <c r="B3" s="218"/>
      <c r="C3" s="218"/>
      <c r="D3" s="218"/>
      <c r="E3" s="218"/>
      <c r="F3" s="218"/>
      <c r="G3" s="218"/>
      <c r="H3" s="218"/>
      <c r="I3" s="218"/>
      <c r="J3" s="218"/>
      <c r="K3" s="218"/>
      <c r="L3" s="218"/>
    </row>
    <row r="4" spans="1:25" ht="18.75">
      <c r="A4" s="71"/>
      <c r="B4" s="155"/>
      <c r="C4" s="71"/>
      <c r="D4" s="73" t="s">
        <v>2</v>
      </c>
      <c r="E4" s="155">
        <v>101</v>
      </c>
      <c r="F4" s="74" t="s">
        <v>85</v>
      </c>
      <c r="G4" s="74"/>
      <c r="H4" s="155"/>
      <c r="I4" s="72" t="s">
        <v>151</v>
      </c>
      <c r="J4" s="74"/>
    </row>
    <row r="5" spans="1:25" ht="18.75">
      <c r="A5" s="71"/>
      <c r="B5" s="155"/>
      <c r="C5" s="71"/>
      <c r="D5" s="224" t="s">
        <v>152</v>
      </c>
      <c r="E5" s="224"/>
      <c r="F5" s="224"/>
      <c r="G5" s="224"/>
      <c r="H5" s="224"/>
      <c r="I5" s="224"/>
      <c r="J5" s="224"/>
    </row>
    <row r="6" spans="1:25">
      <c r="N6" t="s">
        <v>146</v>
      </c>
      <c r="R6" t="s">
        <v>147</v>
      </c>
      <c r="S6" s="22">
        <v>1133.9000000000001</v>
      </c>
      <c r="T6" t="s">
        <v>148</v>
      </c>
      <c r="W6" s="22"/>
    </row>
    <row r="7" spans="1:25" ht="15.75">
      <c r="A7" s="75" t="s">
        <v>92</v>
      </c>
      <c r="B7" s="157" t="s">
        <v>151</v>
      </c>
      <c r="C7" s="69" t="s">
        <v>153</v>
      </c>
      <c r="D7" s="77" t="s">
        <v>102</v>
      </c>
      <c r="E7" s="115">
        <v>1133.9000000000001</v>
      </c>
      <c r="F7" s="69" t="s">
        <v>178</v>
      </c>
      <c r="N7" t="s">
        <v>149</v>
      </c>
    </row>
    <row r="8" spans="1:25" ht="15.75">
      <c r="A8" s="219">
        <v>304908.03000000003</v>
      </c>
      <c r="B8" s="219"/>
      <c r="C8" s="78" t="s">
        <v>3</v>
      </c>
      <c r="G8" s="79">
        <f>A8-J9</f>
        <v>188256.28000000003</v>
      </c>
      <c r="H8" s="157" t="s">
        <v>93</v>
      </c>
      <c r="I8" s="114">
        <f>(G8/A8)*100</f>
        <v>61.741988231664479</v>
      </c>
      <c r="J8" s="69" t="s">
        <v>4</v>
      </c>
      <c r="N8" t="s">
        <v>150</v>
      </c>
      <c r="S8" s="22">
        <v>953.6</v>
      </c>
      <c r="T8" t="s">
        <v>148</v>
      </c>
    </row>
    <row r="9" spans="1:25" ht="24" customHeight="1">
      <c r="A9" s="69" t="s">
        <v>83</v>
      </c>
      <c r="J9" s="63">
        <v>116651.75</v>
      </c>
      <c r="K9" s="69" t="s">
        <v>5</v>
      </c>
    </row>
    <row r="10" spans="1:25">
      <c r="A10" s="69" t="s">
        <v>82</v>
      </c>
    </row>
    <row r="11" spans="1:25">
      <c r="A11" s="69" t="s">
        <v>179</v>
      </c>
      <c r="B11" s="81">
        <v>7516.88</v>
      </c>
      <c r="C11" s="69" t="s">
        <v>10</v>
      </c>
      <c r="E11" s="69" t="s">
        <v>184</v>
      </c>
      <c r="F11" s="81">
        <v>18699.2</v>
      </c>
      <c r="G11" s="69" t="s">
        <v>10</v>
      </c>
      <c r="I11" s="82" t="s">
        <v>186</v>
      </c>
      <c r="J11" s="81">
        <v>7349.99</v>
      </c>
      <c r="K11" s="69" t="s">
        <v>10</v>
      </c>
    </row>
    <row r="12" spans="1:25">
      <c r="A12" s="69" t="s">
        <v>183</v>
      </c>
      <c r="B12" s="81">
        <v>15794.32</v>
      </c>
      <c r="C12" s="69" t="s">
        <v>10</v>
      </c>
      <c r="E12" s="82" t="s">
        <v>185</v>
      </c>
      <c r="F12" s="81">
        <v>7458.93</v>
      </c>
      <c r="G12" s="69" t="s">
        <v>10</v>
      </c>
      <c r="I12" s="83" t="s">
        <v>187</v>
      </c>
      <c r="J12" s="81">
        <v>10891.53</v>
      </c>
      <c r="K12" s="69" t="s">
        <v>10</v>
      </c>
    </row>
    <row r="13" spans="1:25">
      <c r="B13" s="81"/>
      <c r="E13" s="152"/>
      <c r="F13" s="81"/>
      <c r="I13" s="83"/>
      <c r="J13" s="81"/>
    </row>
    <row r="14" spans="1:25" ht="18" customHeight="1">
      <c r="A14" s="69" t="s">
        <v>32</v>
      </c>
      <c r="J14" s="81">
        <f>G15+G16+G17+G18</f>
        <v>116651.75</v>
      </c>
      <c r="K14" s="84" t="s">
        <v>33</v>
      </c>
      <c r="S14">
        <v>82</v>
      </c>
      <c r="T14">
        <v>994.7</v>
      </c>
      <c r="U14" s="23">
        <f>T14*100/T18</f>
        <v>20.854561083506297</v>
      </c>
      <c r="W14">
        <v>83</v>
      </c>
      <c r="X14">
        <v>637.9</v>
      </c>
      <c r="Y14" s="23">
        <f>X14*100/X18</f>
        <v>14.649213457342979</v>
      </c>
    </row>
    <row r="15" spans="1:25">
      <c r="A15" s="85" t="s">
        <v>6</v>
      </c>
      <c r="B15" s="69" t="s">
        <v>7</v>
      </c>
      <c r="G15" s="86">
        <f>(J9*43.5/100)</f>
        <v>50743.511250000003</v>
      </c>
      <c r="H15" s="69" t="s">
        <v>10</v>
      </c>
      <c r="S15">
        <v>90</v>
      </c>
      <c r="T15">
        <v>1172.9000000000001</v>
      </c>
      <c r="U15" s="23">
        <f>T15*100/T18</f>
        <v>24.590645113948465</v>
      </c>
      <c r="W15">
        <v>91</v>
      </c>
      <c r="X15">
        <v>1259.9000000000001</v>
      </c>
      <c r="Y15" s="23">
        <f>X15*100/X18</f>
        <v>28.933287403835116</v>
      </c>
    </row>
    <row r="16" spans="1:25">
      <c r="A16" s="85" t="s">
        <v>6</v>
      </c>
      <c r="B16" s="69" t="s">
        <v>8</v>
      </c>
      <c r="G16" s="86">
        <f>(J9*36.6/100)</f>
        <v>42694.540499999996</v>
      </c>
      <c r="H16" s="69" t="s">
        <v>10</v>
      </c>
      <c r="S16">
        <v>98</v>
      </c>
      <c r="T16">
        <v>1391.3</v>
      </c>
      <c r="U16" s="23">
        <f>T16*100/T18</f>
        <v>29.169549447554349</v>
      </c>
      <c r="W16">
        <v>99</v>
      </c>
      <c r="X16">
        <v>1247.4000000000001</v>
      </c>
      <c r="Y16" s="23">
        <f>X16*100/X18</f>
        <v>28.646228039958668</v>
      </c>
    </row>
    <row r="17" spans="1:25">
      <c r="A17" s="85" t="s">
        <v>6</v>
      </c>
      <c r="B17" s="69" t="s">
        <v>9</v>
      </c>
      <c r="G17" s="86">
        <f>(J9*12.5/100)</f>
        <v>14581.46875</v>
      </c>
      <c r="H17" s="69" t="s">
        <v>10</v>
      </c>
      <c r="K17" s="78"/>
      <c r="L17" s="87"/>
      <c r="S17">
        <v>105</v>
      </c>
      <c r="T17">
        <v>1210.8</v>
      </c>
      <c r="U17" s="23">
        <f>T17*100/T18</f>
        <v>25.385244354990878</v>
      </c>
      <c r="W17">
        <v>106</v>
      </c>
      <c r="X17">
        <v>1209.3</v>
      </c>
      <c r="Y17" s="23">
        <f>X17*100/X18</f>
        <v>27.771271098863245</v>
      </c>
    </row>
    <row r="18" spans="1:25">
      <c r="A18" s="85" t="s">
        <v>6</v>
      </c>
      <c r="B18" s="69" t="s">
        <v>14</v>
      </c>
      <c r="G18" s="86">
        <f>(J9*7.4/100)</f>
        <v>8632.2295000000013</v>
      </c>
      <c r="H18" s="69" t="s">
        <v>10</v>
      </c>
      <c r="T18">
        <f>SUM(T14:T17)</f>
        <v>4769.7000000000007</v>
      </c>
      <c r="U18" s="23"/>
      <c r="X18">
        <f>SUM(X14:X17)</f>
        <v>4354.5</v>
      </c>
      <c r="Y18" s="23"/>
    </row>
    <row r="19" spans="1:25" ht="18.75" customHeight="1">
      <c r="G19" s="88"/>
      <c r="U19" s="23"/>
      <c r="Y19" s="23"/>
    </row>
    <row r="20" spans="1:25">
      <c r="A20" s="89" t="s">
        <v>11</v>
      </c>
      <c r="G20" s="90">
        <f>AF106</f>
        <v>28342.64563106796</v>
      </c>
      <c r="H20" s="69" t="s">
        <v>12</v>
      </c>
      <c r="S20">
        <v>84</v>
      </c>
      <c r="T20">
        <v>990.9</v>
      </c>
      <c r="U20" s="23">
        <f>T20*100/T24</f>
        <v>20.945717426228121</v>
      </c>
      <c r="W20">
        <v>85</v>
      </c>
      <c r="X20">
        <v>892.1</v>
      </c>
      <c r="Y20" s="23">
        <f>X20*100/X24</f>
        <v>25.59299083116257</v>
      </c>
    </row>
    <row r="21" spans="1:25" ht="15.75" thickBot="1">
      <c r="A21" s="220">
        <f>G20*I8/100</f>
        <v>17499.312930076347</v>
      </c>
      <c r="B21" s="220"/>
      <c r="C21" s="69" t="s">
        <v>72</v>
      </c>
      <c r="S21">
        <v>92</v>
      </c>
      <c r="T21">
        <v>1211.0999999999999</v>
      </c>
      <c r="U21" s="23">
        <f>T21*100/T24</f>
        <v>25.600321298723255</v>
      </c>
      <c r="W21">
        <v>93</v>
      </c>
      <c r="X21">
        <v>801.7</v>
      </c>
      <c r="Y21" s="23">
        <f>X21*100/X24</f>
        <v>22.999552459750063</v>
      </c>
    </row>
    <row r="22" spans="1:25">
      <c r="A22" s="91" t="s">
        <v>2</v>
      </c>
      <c r="B22" s="221" t="s">
        <v>20</v>
      </c>
      <c r="C22" s="223"/>
      <c r="D22" s="223"/>
      <c r="E22" s="223"/>
      <c r="F22" s="223"/>
      <c r="G22" s="223"/>
      <c r="H22" s="222"/>
      <c r="I22" s="91" t="s">
        <v>18</v>
      </c>
      <c r="J22" s="92" t="s">
        <v>17</v>
      </c>
      <c r="K22" s="221" t="s">
        <v>15</v>
      </c>
      <c r="L22" s="222"/>
      <c r="S22">
        <v>100</v>
      </c>
      <c r="T22">
        <v>1316.9</v>
      </c>
      <c r="U22" s="23">
        <f>T22*100/T24</f>
        <v>27.83672951720639</v>
      </c>
      <c r="W22">
        <v>101</v>
      </c>
      <c r="X22">
        <v>953.6</v>
      </c>
      <c r="Y22" s="23">
        <f>X22*100/X24</f>
        <v>27.357332201094749</v>
      </c>
    </row>
    <row r="23" spans="1:25" ht="15.75" thickBot="1">
      <c r="A23" s="93" t="s">
        <v>13</v>
      </c>
      <c r="B23" s="188"/>
      <c r="C23" s="189"/>
      <c r="D23" s="189"/>
      <c r="E23" s="189"/>
      <c r="F23" s="189"/>
      <c r="G23" s="189"/>
      <c r="H23" s="190"/>
      <c r="I23" s="93" t="s">
        <v>19</v>
      </c>
      <c r="J23" s="94"/>
      <c r="K23" s="184" t="s">
        <v>16</v>
      </c>
      <c r="L23" s="185"/>
      <c r="S23">
        <v>107</v>
      </c>
      <c r="T23">
        <v>1211.9000000000001</v>
      </c>
      <c r="U23" s="23">
        <f>T23*100/T24</f>
        <v>25.617231757842227</v>
      </c>
      <c r="W23">
        <v>108</v>
      </c>
      <c r="X23">
        <v>838.32</v>
      </c>
      <c r="Y23" s="23">
        <f>X23*100/X24</f>
        <v>24.050124507992606</v>
      </c>
    </row>
    <row r="24" spans="1:25">
      <c r="A24" s="95">
        <v>1</v>
      </c>
      <c r="B24" s="191" t="s">
        <v>142</v>
      </c>
      <c r="C24" s="192"/>
      <c r="D24" s="192"/>
      <c r="E24" s="192"/>
      <c r="F24" s="192"/>
      <c r="G24" s="192"/>
      <c r="H24" s="193"/>
      <c r="I24" s="95" t="s">
        <v>86</v>
      </c>
      <c r="J24" s="95">
        <v>1</v>
      </c>
      <c r="K24" s="186">
        <f>65765/7</f>
        <v>9395</v>
      </c>
      <c r="L24" s="187"/>
      <c r="M24" s="44"/>
      <c r="N24" s="44" t="s">
        <v>173</v>
      </c>
      <c r="O24" s="44"/>
      <c r="P24" s="67" t="s">
        <v>174</v>
      </c>
      <c r="Q24" s="44"/>
      <c r="T24">
        <f>SUM(T20:T23)</f>
        <v>4730.8</v>
      </c>
      <c r="U24" s="23"/>
      <c r="X24">
        <f>SUM(X20:X23)</f>
        <v>3485.7200000000003</v>
      </c>
      <c r="Y24" s="23"/>
    </row>
    <row r="25" spans="1:25">
      <c r="A25" s="95">
        <f>1+A24</f>
        <v>2</v>
      </c>
      <c r="B25" s="196" t="s">
        <v>103</v>
      </c>
      <c r="C25" s="192"/>
      <c r="D25" s="192"/>
      <c r="E25" s="192"/>
      <c r="F25" s="192"/>
      <c r="G25" s="192"/>
      <c r="H25" s="193"/>
      <c r="I25" s="96" t="s">
        <v>86</v>
      </c>
      <c r="J25" s="95">
        <v>1</v>
      </c>
      <c r="K25" s="198">
        <v>135</v>
      </c>
      <c r="L25" s="199"/>
      <c r="N25" s="228" t="s">
        <v>89</v>
      </c>
      <c r="O25" s="228"/>
      <c r="P25" s="44"/>
      <c r="U25" s="23"/>
      <c r="Y25" s="23"/>
    </row>
    <row r="26" spans="1:25" ht="14.25" customHeight="1">
      <c r="A26" s="95">
        <v>3</v>
      </c>
      <c r="B26" s="191" t="s">
        <v>177</v>
      </c>
      <c r="C26" s="192"/>
      <c r="D26" s="192"/>
      <c r="E26" s="192"/>
      <c r="F26" s="192"/>
      <c r="G26" s="192"/>
      <c r="H26" s="193"/>
      <c r="I26" s="95" t="s">
        <v>86</v>
      </c>
      <c r="J26" s="96">
        <v>13</v>
      </c>
      <c r="K26" s="200">
        <v>1330.3</v>
      </c>
      <c r="L26" s="201"/>
      <c r="N26" t="s">
        <v>144</v>
      </c>
    </row>
    <row r="27" spans="1:25">
      <c r="A27" s="95">
        <v>4</v>
      </c>
      <c r="B27" s="196" t="s">
        <v>88</v>
      </c>
      <c r="C27" s="197"/>
      <c r="D27" s="197"/>
      <c r="E27" s="197"/>
      <c r="F27" s="197"/>
      <c r="G27" s="197"/>
      <c r="H27" s="193"/>
      <c r="I27" s="96" t="s">
        <v>86</v>
      </c>
      <c r="J27" s="95">
        <v>1</v>
      </c>
      <c r="K27" s="200">
        <v>504</v>
      </c>
      <c r="L27" s="201"/>
      <c r="N27" s="43" t="s">
        <v>90</v>
      </c>
      <c r="O27" s="44"/>
      <c r="P27" s="44"/>
    </row>
    <row r="28" spans="1:25">
      <c r="A28" s="95">
        <v>5</v>
      </c>
      <c r="B28" s="196" t="s">
        <v>208</v>
      </c>
      <c r="C28" s="197"/>
      <c r="D28" s="197"/>
      <c r="E28" s="197"/>
      <c r="F28" s="197"/>
      <c r="G28" s="197"/>
      <c r="H28" s="193"/>
      <c r="I28" s="97" t="s">
        <v>86</v>
      </c>
      <c r="J28" s="95">
        <v>30</v>
      </c>
      <c r="K28" s="198">
        <v>500</v>
      </c>
      <c r="L28" s="199"/>
      <c r="N28" s="43"/>
      <c r="O28" s="44"/>
      <c r="P28" s="44"/>
      <c r="T28">
        <v>84</v>
      </c>
      <c r="U28">
        <v>1139</v>
      </c>
      <c r="V28" s="23">
        <f>U28*100/U36</f>
        <v>12.514833208807632</v>
      </c>
    </row>
    <row r="29" spans="1:25">
      <c r="A29" s="95">
        <v>6</v>
      </c>
      <c r="B29" s="196" t="s">
        <v>104</v>
      </c>
      <c r="C29" s="197"/>
      <c r="D29" s="197"/>
      <c r="E29" s="197"/>
      <c r="F29" s="197"/>
      <c r="G29" s="197"/>
      <c r="H29" s="193"/>
      <c r="I29" s="97" t="s">
        <v>86</v>
      </c>
      <c r="J29" s="95">
        <v>30</v>
      </c>
      <c r="K29" s="198">
        <f>6.02*2*30</f>
        <v>361.2</v>
      </c>
      <c r="L29" s="199"/>
      <c r="N29" s="43"/>
      <c r="O29" s="44"/>
      <c r="P29" s="44"/>
      <c r="T29">
        <v>92</v>
      </c>
      <c r="U29">
        <v>1138.9000000000001</v>
      </c>
      <c r="V29" s="23">
        <f>U29*100/U36</f>
        <v>12.51373445259966</v>
      </c>
    </row>
    <row r="30" spans="1:25">
      <c r="A30" s="95">
        <v>7</v>
      </c>
      <c r="B30" s="196" t="s">
        <v>91</v>
      </c>
      <c r="C30" s="197"/>
      <c r="D30" s="197"/>
      <c r="E30" s="197"/>
      <c r="F30" s="197"/>
      <c r="G30" s="197"/>
      <c r="H30" s="193"/>
      <c r="I30" s="96" t="s">
        <v>86</v>
      </c>
      <c r="J30" s="95">
        <v>2</v>
      </c>
      <c r="K30" s="198">
        <v>532</v>
      </c>
      <c r="L30" s="199"/>
      <c r="T30">
        <v>100</v>
      </c>
      <c r="U30">
        <v>1138.4000000000001</v>
      </c>
      <c r="V30" s="23">
        <f>U30*100/U36</f>
        <v>12.508240671559797</v>
      </c>
    </row>
    <row r="31" spans="1:25">
      <c r="A31" s="95">
        <v>8</v>
      </c>
      <c r="B31" s="196" t="s">
        <v>194</v>
      </c>
      <c r="C31" s="197"/>
      <c r="D31" s="197"/>
      <c r="E31" s="197"/>
      <c r="F31" s="197"/>
      <c r="G31" s="197"/>
      <c r="H31" s="193"/>
      <c r="I31" s="96" t="s">
        <v>86</v>
      </c>
      <c r="J31" s="95">
        <v>4</v>
      </c>
      <c r="K31" s="200">
        <f>490*4*0.299</f>
        <v>586.04</v>
      </c>
      <c r="L31" s="201"/>
      <c r="T31">
        <v>107</v>
      </c>
      <c r="U31">
        <v>1138.8</v>
      </c>
      <c r="V31" s="23">
        <f>U31*100/U36</f>
        <v>12.512635696391687</v>
      </c>
    </row>
    <row r="32" spans="1:25">
      <c r="A32" s="95">
        <v>9</v>
      </c>
      <c r="B32" s="196" t="s">
        <v>195</v>
      </c>
      <c r="C32" s="192"/>
      <c r="D32" s="192"/>
      <c r="E32" s="192"/>
      <c r="F32" s="192"/>
      <c r="G32" s="192"/>
      <c r="H32" s="193"/>
      <c r="I32" s="96" t="s">
        <v>86</v>
      </c>
      <c r="J32" s="95">
        <v>4</v>
      </c>
      <c r="K32" s="200">
        <f>180*4*0.299</f>
        <v>215.28</v>
      </c>
      <c r="L32" s="201"/>
      <c r="T32">
        <v>85</v>
      </c>
      <c r="U32">
        <v>1142.4000000000001</v>
      </c>
      <c r="V32" s="23">
        <f>U32*100/U36</f>
        <v>12.552190919878701</v>
      </c>
    </row>
    <row r="33" spans="1:23" s="49" customFormat="1">
      <c r="A33" s="95">
        <v>10</v>
      </c>
      <c r="B33" s="196" t="s">
        <v>198</v>
      </c>
      <c r="C33" s="197"/>
      <c r="D33" s="197"/>
      <c r="E33" s="197"/>
      <c r="F33" s="197"/>
      <c r="G33" s="197"/>
      <c r="H33" s="193"/>
      <c r="I33" s="96" t="s">
        <v>86</v>
      </c>
      <c r="J33" s="95">
        <v>1</v>
      </c>
      <c r="K33" s="198">
        <f>18360*0.2499</f>
        <v>4588.1639999999998</v>
      </c>
      <c r="L33" s="199"/>
      <c r="M33"/>
      <c r="N33" t="s">
        <v>141</v>
      </c>
      <c r="O33"/>
      <c r="P33"/>
      <c r="Q33"/>
      <c r="T33">
        <v>93</v>
      </c>
      <c r="U33">
        <v>1135.5</v>
      </c>
      <c r="V33" s="23">
        <f>U33*100/U36</f>
        <v>12.476376741528592</v>
      </c>
      <c r="W33"/>
    </row>
    <row r="34" spans="1:23" s="49" customFormat="1">
      <c r="A34" s="95">
        <v>11</v>
      </c>
      <c r="B34" s="196" t="s">
        <v>199</v>
      </c>
      <c r="C34" s="197"/>
      <c r="D34" s="197"/>
      <c r="E34" s="197"/>
      <c r="F34" s="197"/>
      <c r="G34" s="197"/>
      <c r="H34" s="193"/>
      <c r="I34" s="96" t="s">
        <v>99</v>
      </c>
      <c r="J34" s="95">
        <v>8</v>
      </c>
      <c r="K34" s="198">
        <f>2000*8*0.2499</f>
        <v>3998.4</v>
      </c>
      <c r="L34" s="199"/>
      <c r="M34"/>
      <c r="N34"/>
      <c r="O34"/>
      <c r="P34"/>
      <c r="T34">
        <v>101</v>
      </c>
      <c r="U34">
        <v>1133.9000000000001</v>
      </c>
      <c r="V34" s="23">
        <f>U34*100/U36</f>
        <v>12.458796642201031</v>
      </c>
      <c r="W34"/>
    </row>
    <row r="35" spans="1:23" s="49" customFormat="1">
      <c r="A35" s="95">
        <v>12</v>
      </c>
      <c r="B35" s="196" t="s">
        <v>206</v>
      </c>
      <c r="C35" s="197"/>
      <c r="D35" s="197"/>
      <c r="E35" s="197"/>
      <c r="F35" s="197"/>
      <c r="G35" s="197"/>
      <c r="H35" s="193"/>
      <c r="I35" s="154" t="s">
        <v>182</v>
      </c>
      <c r="J35" s="159">
        <f>1080/12</f>
        <v>90</v>
      </c>
      <c r="K35" s="200">
        <f>(8028.13+3000)/12</f>
        <v>919.01083333333338</v>
      </c>
      <c r="L35" s="201"/>
      <c r="M35" s="56" t="s">
        <v>207</v>
      </c>
      <c r="N35" s="56"/>
      <c r="O35" s="56"/>
      <c r="P35" s="56"/>
      <c r="T35">
        <v>108</v>
      </c>
      <c r="U35">
        <v>1134.3</v>
      </c>
      <c r="V35" s="23">
        <f>U35*100/U36</f>
        <v>12.46319166703292</v>
      </c>
      <c r="W35"/>
    </row>
    <row r="36" spans="1:23" s="49" customFormat="1">
      <c r="A36" s="95">
        <v>13</v>
      </c>
      <c r="B36" s="196" t="s">
        <v>205</v>
      </c>
      <c r="C36" s="192"/>
      <c r="D36" s="192"/>
      <c r="E36" s="192"/>
      <c r="F36" s="192"/>
      <c r="G36" s="192"/>
      <c r="H36" s="193"/>
      <c r="I36" s="98" t="s">
        <v>143</v>
      </c>
      <c r="J36" s="98" t="s">
        <v>143</v>
      </c>
      <c r="K36" s="198">
        <f>(13250+1000)/27</f>
        <v>527.77777777777783</v>
      </c>
      <c r="L36" s="199"/>
      <c r="M36"/>
      <c r="N36" t="s">
        <v>144</v>
      </c>
      <c r="O36"/>
      <c r="P36"/>
      <c r="Q36"/>
      <c r="T36"/>
      <c r="U36">
        <f>SUM(U28:U35)</f>
        <v>9101.1999999999989</v>
      </c>
      <c r="V36"/>
      <c r="W36"/>
    </row>
    <row r="37" spans="1:23" s="49" customFormat="1">
      <c r="A37" s="95">
        <v>14</v>
      </c>
      <c r="B37" s="196" t="s">
        <v>209</v>
      </c>
      <c r="C37" s="197"/>
      <c r="D37" s="197"/>
      <c r="E37" s="197"/>
      <c r="F37" s="197"/>
      <c r="G37" s="197"/>
      <c r="H37" s="193"/>
      <c r="I37" s="153" t="s">
        <v>86</v>
      </c>
      <c r="J37" s="95">
        <v>1</v>
      </c>
      <c r="K37" s="198">
        <f>8000*0.102</f>
        <v>816</v>
      </c>
      <c r="L37" s="199"/>
      <c r="M37"/>
      <c r="N37" t="s">
        <v>210</v>
      </c>
      <c r="O37" s="44"/>
      <c r="P37"/>
      <c r="R37"/>
      <c r="T37"/>
      <c r="U37"/>
      <c r="V37"/>
      <c r="W37"/>
    </row>
    <row r="38" spans="1:23" s="49" customFormat="1">
      <c r="A38" s="95">
        <v>15</v>
      </c>
      <c r="B38" s="196" t="s">
        <v>218</v>
      </c>
      <c r="C38" s="197"/>
      <c r="D38" s="197"/>
      <c r="E38" s="197"/>
      <c r="F38" s="197"/>
      <c r="G38" s="197"/>
      <c r="H38" s="193"/>
      <c r="I38" s="95" t="s">
        <v>86</v>
      </c>
      <c r="J38" s="95">
        <v>1</v>
      </c>
      <c r="K38" s="198">
        <f>24032*0.1161</f>
        <v>2790.1151999999997</v>
      </c>
      <c r="L38" s="199"/>
      <c r="M38" s="44"/>
      <c r="N38" s="44" t="s">
        <v>145</v>
      </c>
      <c r="O38" s="56"/>
      <c r="P38" s="56"/>
      <c r="Q38" s="56"/>
    </row>
    <row r="39" spans="1:23" s="49" customFormat="1">
      <c r="A39" s="95">
        <v>16</v>
      </c>
      <c r="B39" s="196" t="s">
        <v>211</v>
      </c>
      <c r="C39" s="197"/>
      <c r="D39" s="197"/>
      <c r="E39" s="197"/>
      <c r="F39" s="197"/>
      <c r="G39" s="197"/>
      <c r="H39" s="193"/>
      <c r="I39" s="154" t="s">
        <v>99</v>
      </c>
      <c r="J39" s="95">
        <v>8</v>
      </c>
      <c r="K39" s="198">
        <f>2000*8*0.05</f>
        <v>800</v>
      </c>
      <c r="L39" s="199"/>
      <c r="M39"/>
      <c r="N39" s="55"/>
      <c r="O39"/>
      <c r="P39"/>
      <c r="Q39"/>
    </row>
    <row r="40" spans="1:23" s="49" customFormat="1">
      <c r="A40" s="95">
        <v>17</v>
      </c>
      <c r="B40" s="196" t="s">
        <v>196</v>
      </c>
      <c r="C40" s="192"/>
      <c r="D40" s="192"/>
      <c r="E40" s="192"/>
      <c r="F40" s="192"/>
      <c r="G40" s="192"/>
      <c r="H40" s="193"/>
      <c r="I40" s="95" t="s">
        <v>86</v>
      </c>
      <c r="J40" s="76">
        <v>2</v>
      </c>
      <c r="K40" s="200">
        <f>(9000+5031)/3*2*0.0411</f>
        <v>384.44939999999997</v>
      </c>
      <c r="L40" s="201"/>
      <c r="M40"/>
      <c r="N40" s="55" t="s">
        <v>157</v>
      </c>
      <c r="O40" s="44"/>
      <c r="P40"/>
    </row>
    <row r="41" spans="1:23" ht="14.25" customHeight="1">
      <c r="A41" s="95">
        <v>18</v>
      </c>
      <c r="B41" s="196" t="s">
        <v>197</v>
      </c>
      <c r="C41" s="197"/>
      <c r="D41" s="197"/>
      <c r="E41" s="197"/>
      <c r="F41" s="197"/>
      <c r="G41" s="197"/>
      <c r="H41" s="193"/>
      <c r="I41" s="99" t="s">
        <v>86</v>
      </c>
      <c r="J41" s="95">
        <v>2</v>
      </c>
      <c r="K41" s="200">
        <f>28684*0.0411</f>
        <v>1178.9123999999999</v>
      </c>
      <c r="L41" s="201"/>
      <c r="M41" s="44"/>
      <c r="N41" s="44"/>
      <c r="O41" s="49"/>
      <c r="P41" s="49"/>
      <c r="Q41" s="49"/>
    </row>
    <row r="42" spans="1:23" ht="18" customHeight="1">
      <c r="A42" s="95"/>
      <c r="B42" s="196" t="s">
        <v>21</v>
      </c>
      <c r="C42" s="197"/>
      <c r="D42" s="197"/>
      <c r="E42" s="197"/>
      <c r="F42" s="197"/>
      <c r="G42" s="197"/>
      <c r="H42" s="193"/>
      <c r="I42" s="100"/>
      <c r="J42" s="95"/>
      <c r="K42" s="198">
        <f>SUM(K24:L41)</f>
        <v>29561.649611111116</v>
      </c>
      <c r="L42" s="199"/>
      <c r="M42" s="49"/>
      <c r="N42" s="49"/>
      <c r="O42" s="49"/>
      <c r="P42" s="49"/>
      <c r="Q42" s="49"/>
    </row>
    <row r="43" spans="1:23" ht="15.75" thickBot="1">
      <c r="A43" s="95"/>
      <c r="B43" s="196" t="s">
        <v>162</v>
      </c>
      <c r="C43" s="197"/>
      <c r="D43" s="197"/>
      <c r="E43" s="197"/>
      <c r="F43" s="197"/>
      <c r="G43" s="197"/>
      <c r="H43" s="193"/>
      <c r="I43" s="100"/>
      <c r="J43" s="101"/>
      <c r="K43" s="194">
        <f>K42*0.14</f>
        <v>4138.6309455555565</v>
      </c>
      <c r="L43" s="195"/>
      <c r="M43" s="49"/>
      <c r="N43" s="49"/>
    </row>
    <row r="44" spans="1:23" ht="24" customHeight="1" thickBot="1">
      <c r="A44" s="102"/>
      <c r="B44" s="103" t="s">
        <v>22</v>
      </c>
      <c r="C44" s="104"/>
      <c r="D44" s="104"/>
      <c r="E44" s="104"/>
      <c r="F44" s="104"/>
      <c r="G44" s="104"/>
      <c r="H44" s="105"/>
      <c r="I44" s="102"/>
      <c r="J44" s="106"/>
      <c r="K44" s="205">
        <f>SUM(K42:L43)</f>
        <v>33700.280556666672</v>
      </c>
      <c r="L44" s="206"/>
    </row>
    <row r="45" spans="1:23" ht="15.75" customHeight="1">
      <c r="A45" s="69" t="s">
        <v>23</v>
      </c>
    </row>
    <row r="46" spans="1:23" ht="15.75" customHeight="1">
      <c r="A46" s="69" t="s">
        <v>25</v>
      </c>
      <c r="D46" s="157">
        <v>2012</v>
      </c>
      <c r="E46" s="69" t="s">
        <v>26</v>
      </c>
      <c r="G46" s="90">
        <f>K44-G20</f>
        <v>5357.6349255987116</v>
      </c>
      <c r="H46" s="69" t="s">
        <v>27</v>
      </c>
    </row>
    <row r="47" spans="1:23" ht="15.75" thickBot="1">
      <c r="A47" s="69" t="s">
        <v>94</v>
      </c>
      <c r="B47" s="157">
        <v>2013</v>
      </c>
      <c r="C47" s="69" t="s">
        <v>31</v>
      </c>
    </row>
    <row r="48" spans="1:23">
      <c r="A48" s="156" t="s">
        <v>2</v>
      </c>
      <c r="B48" s="213" t="s">
        <v>40</v>
      </c>
      <c r="C48" s="214"/>
      <c r="D48" s="214"/>
      <c r="E48" s="214"/>
      <c r="F48" s="213" t="s">
        <v>41</v>
      </c>
      <c r="G48" s="214"/>
      <c r="H48" s="215"/>
      <c r="I48" s="213" t="s">
        <v>42</v>
      </c>
      <c r="J48" s="214"/>
      <c r="K48" s="214"/>
      <c r="L48" s="215"/>
    </row>
    <row r="49" spans="1:12" ht="15.75" thickBot="1">
      <c r="A49" s="151"/>
      <c r="B49" s="207"/>
      <c r="C49" s="208"/>
      <c r="D49" s="208"/>
      <c r="E49" s="208"/>
      <c r="F49" s="207"/>
      <c r="G49" s="208"/>
      <c r="H49" s="209"/>
      <c r="I49" s="207" t="s">
        <v>163</v>
      </c>
      <c r="J49" s="208"/>
      <c r="K49" s="208"/>
      <c r="L49" s="209"/>
    </row>
    <row r="50" spans="1:12">
      <c r="A50" s="107" t="s">
        <v>34</v>
      </c>
      <c r="B50" s="216" t="s">
        <v>43</v>
      </c>
      <c r="C50" s="216"/>
      <c r="D50" s="216"/>
      <c r="E50" s="217"/>
      <c r="F50" s="210" t="s">
        <v>180</v>
      </c>
      <c r="G50" s="211"/>
      <c r="H50" s="212"/>
      <c r="I50" s="210" t="s">
        <v>217</v>
      </c>
      <c r="J50" s="211"/>
      <c r="K50" s="211"/>
      <c r="L50" s="212"/>
    </row>
    <row r="51" spans="1:12">
      <c r="A51" s="95" t="s">
        <v>35</v>
      </c>
      <c r="B51" s="197" t="s">
        <v>44</v>
      </c>
      <c r="C51" s="197"/>
      <c r="D51" s="197"/>
      <c r="E51" s="193"/>
      <c r="F51" s="202" t="s">
        <v>181</v>
      </c>
      <c r="G51" s="203"/>
      <c r="H51" s="204"/>
      <c r="I51" s="202" t="s">
        <v>49</v>
      </c>
      <c r="J51" s="203"/>
      <c r="K51" s="203"/>
      <c r="L51" s="204"/>
    </row>
    <row r="52" spans="1:12">
      <c r="A52" s="95" t="s">
        <v>36</v>
      </c>
      <c r="B52" s="197" t="s">
        <v>45</v>
      </c>
      <c r="C52" s="197"/>
      <c r="D52" s="197"/>
      <c r="E52" s="193"/>
      <c r="F52" s="202" t="s">
        <v>164</v>
      </c>
      <c r="G52" s="203"/>
      <c r="H52" s="204"/>
      <c r="I52" s="202" t="s">
        <v>165</v>
      </c>
      <c r="J52" s="203"/>
      <c r="K52" s="203"/>
      <c r="L52" s="204"/>
    </row>
    <row r="53" spans="1:12">
      <c r="A53" s="95" t="s">
        <v>37</v>
      </c>
      <c r="B53" s="197" t="s">
        <v>46</v>
      </c>
      <c r="C53" s="197"/>
      <c r="D53" s="197"/>
      <c r="E53" s="193"/>
      <c r="F53" s="202" t="s">
        <v>166</v>
      </c>
      <c r="G53" s="203"/>
      <c r="H53" s="204"/>
      <c r="I53" s="202" t="s">
        <v>167</v>
      </c>
      <c r="J53" s="203"/>
      <c r="K53" s="203"/>
      <c r="L53" s="204"/>
    </row>
    <row r="54" spans="1:12">
      <c r="A54" s="95" t="s">
        <v>38</v>
      </c>
      <c r="B54" s="197" t="s">
        <v>47</v>
      </c>
      <c r="C54" s="197"/>
      <c r="D54" s="197"/>
      <c r="E54" s="193"/>
      <c r="F54" s="202" t="s">
        <v>168</v>
      </c>
      <c r="G54" s="203"/>
      <c r="H54" s="204"/>
      <c r="I54" s="202" t="s">
        <v>169</v>
      </c>
      <c r="J54" s="203"/>
      <c r="K54" s="203"/>
      <c r="L54" s="204"/>
    </row>
    <row r="55" spans="1:12" ht="15.75" thickBot="1">
      <c r="A55" s="108" t="s">
        <v>39</v>
      </c>
      <c r="B55" s="225" t="s">
        <v>48</v>
      </c>
      <c r="C55" s="225"/>
      <c r="D55" s="225"/>
      <c r="E55" s="226"/>
      <c r="F55" s="188" t="s">
        <v>170</v>
      </c>
      <c r="G55" s="189"/>
      <c r="H55" s="190"/>
      <c r="I55" s="188" t="s">
        <v>171</v>
      </c>
      <c r="J55" s="189"/>
      <c r="K55" s="189"/>
      <c r="L55" s="190"/>
    </row>
    <row r="57" spans="1:12">
      <c r="A57" s="109" t="s">
        <v>52</v>
      </c>
      <c r="B57" s="157">
        <v>2014</v>
      </c>
      <c r="C57" s="69" t="s">
        <v>53</v>
      </c>
    </row>
    <row r="58" spans="1:12">
      <c r="A58" s="150" t="s">
        <v>216</v>
      </c>
    </row>
    <row r="59" spans="1:12">
      <c r="A59" s="150" t="s">
        <v>50</v>
      </c>
      <c r="F59" s="80">
        <f>H80</f>
        <v>6.2143659733073688</v>
      </c>
      <c r="G59" s="69" t="s">
        <v>51</v>
      </c>
    </row>
    <row r="60" spans="1:12">
      <c r="A60" s="150" t="s">
        <v>100</v>
      </c>
    </row>
    <row r="61" spans="1:12">
      <c r="A61" s="150" t="s">
        <v>154</v>
      </c>
    </row>
    <row r="62" spans="1:12">
      <c r="A62" s="150" t="s">
        <v>101</v>
      </c>
    </row>
    <row r="63" spans="1:12">
      <c r="A63" s="150" t="s">
        <v>155</v>
      </c>
    </row>
    <row r="64" spans="1:12">
      <c r="A64" s="150" t="s">
        <v>156</v>
      </c>
    </row>
    <row r="65" spans="1:29">
      <c r="A65" s="183"/>
      <c r="B65" s="183"/>
      <c r="C65" s="183"/>
      <c r="D65" s="183"/>
      <c r="E65" s="183"/>
      <c r="F65" s="183"/>
      <c r="G65" s="183"/>
      <c r="H65" s="183"/>
      <c r="I65" s="183"/>
      <c r="J65" s="183"/>
      <c r="K65" s="183"/>
      <c r="L65" s="183"/>
    </row>
    <row r="66" spans="1:29">
      <c r="A66" s="150" t="s">
        <v>54</v>
      </c>
      <c r="B66" s="157">
        <v>2014</v>
      </c>
      <c r="C66" s="69" t="s">
        <v>55</v>
      </c>
    </row>
    <row r="67" spans="1:29">
      <c r="A67" s="150" t="s">
        <v>56</v>
      </c>
    </row>
    <row r="68" spans="1:29">
      <c r="A68" s="150" t="s">
        <v>57</v>
      </c>
      <c r="J68" s="81">
        <v>15000</v>
      </c>
      <c r="K68" s="69" t="s">
        <v>10</v>
      </c>
    </row>
    <row r="69" spans="1:29">
      <c r="A69" s="183" t="s">
        <v>81</v>
      </c>
      <c r="B69" s="183"/>
      <c r="C69" s="183"/>
      <c r="D69" s="183"/>
      <c r="E69" s="183"/>
      <c r="J69" s="81">
        <v>5000</v>
      </c>
      <c r="K69" s="69" t="s">
        <v>10</v>
      </c>
    </row>
    <row r="70" spans="1:29">
      <c r="A70" s="150" t="s">
        <v>58</v>
      </c>
      <c r="J70" s="81">
        <v>1500</v>
      </c>
      <c r="K70" s="69" t="s">
        <v>10</v>
      </c>
    </row>
    <row r="71" spans="1:29">
      <c r="A71" s="150" t="s">
        <v>79</v>
      </c>
      <c r="J71" s="81">
        <v>10000</v>
      </c>
      <c r="K71" s="69" t="s">
        <v>10</v>
      </c>
    </row>
    <row r="72" spans="1:29">
      <c r="A72" s="150" t="s">
        <v>212</v>
      </c>
      <c r="J72" s="81">
        <v>1200</v>
      </c>
      <c r="K72" s="69" t="s">
        <v>10</v>
      </c>
    </row>
    <row r="73" spans="1:29">
      <c r="A73" s="150" t="s">
        <v>213</v>
      </c>
      <c r="J73" s="81">
        <v>6000</v>
      </c>
      <c r="K73" s="69" t="s">
        <v>10</v>
      </c>
    </row>
    <row r="74" spans="1:29">
      <c r="A74" s="158" t="s">
        <v>214</v>
      </c>
      <c r="B74" s="49"/>
      <c r="C74" s="49"/>
      <c r="D74" s="49"/>
      <c r="E74" s="49"/>
      <c r="F74" s="49"/>
      <c r="G74" s="49"/>
      <c r="H74" s="49"/>
      <c r="I74" s="49"/>
      <c r="J74" s="160">
        <v>20000</v>
      </c>
      <c r="K74" t="s">
        <v>10</v>
      </c>
    </row>
    <row r="75" spans="1:29">
      <c r="A75" s="150" t="s">
        <v>59</v>
      </c>
      <c r="J75" s="81">
        <v>10000</v>
      </c>
      <c r="K75" s="69" t="s">
        <v>10</v>
      </c>
    </row>
    <row r="76" spans="1:29">
      <c r="A76" s="150" t="s">
        <v>60</v>
      </c>
      <c r="J76" s="81">
        <v>10000</v>
      </c>
      <c r="K76" s="69" t="s">
        <v>10</v>
      </c>
    </row>
    <row r="77" spans="1:29">
      <c r="A77" s="158" t="s">
        <v>215</v>
      </c>
      <c r="B77" s="49"/>
      <c r="C77" s="49"/>
      <c r="D77" s="49"/>
      <c r="E77" s="49"/>
      <c r="F77" s="49"/>
      <c r="G77" s="49"/>
      <c r="H77" s="49"/>
      <c r="I77" s="49"/>
      <c r="J77" s="160">
        <v>500</v>
      </c>
      <c r="K77" t="s">
        <v>10</v>
      </c>
    </row>
    <row r="78" spans="1:29" ht="15.75">
      <c r="A78" s="110" t="s">
        <v>61</v>
      </c>
      <c r="J78" s="86">
        <f>SUM(J68:J77)</f>
        <v>79200</v>
      </c>
      <c r="K78" s="111" t="s">
        <v>62</v>
      </c>
      <c r="P78" s="28" t="s">
        <v>95</v>
      </c>
      <c r="Q78" s="45" t="s">
        <v>96</v>
      </c>
    </row>
    <row r="79" spans="1:29" ht="15.75">
      <c r="A79" s="150" t="s">
        <v>63</v>
      </c>
      <c r="H79" s="157">
        <v>2013</v>
      </c>
      <c r="I79" s="69" t="s">
        <v>71</v>
      </c>
      <c r="K79" s="86">
        <f>G46</f>
        <v>5357.6349255987116</v>
      </c>
      <c r="O79">
        <v>1</v>
      </c>
      <c r="P79" s="58">
        <v>45</v>
      </c>
      <c r="Q79" s="45">
        <v>5.45</v>
      </c>
      <c r="R79" s="46"/>
      <c r="S79" s="47"/>
      <c r="T79" s="47">
        <v>41395</v>
      </c>
      <c r="U79" s="47">
        <v>41426</v>
      </c>
      <c r="V79" s="47">
        <v>41456</v>
      </c>
      <c r="W79" s="47">
        <v>41487</v>
      </c>
      <c r="X79" s="47">
        <v>41518</v>
      </c>
      <c r="Y79" s="47">
        <v>41548</v>
      </c>
      <c r="Z79" s="47">
        <v>41579</v>
      </c>
      <c r="AA79" s="47">
        <v>41609</v>
      </c>
      <c r="AB79" s="28" t="s">
        <v>97</v>
      </c>
    </row>
    <row r="80" spans="1:29" ht="15" customHeight="1">
      <c r="A80" s="150" t="s">
        <v>64</v>
      </c>
      <c r="C80" s="90">
        <f>J78+K79</f>
        <v>84557.634925598715</v>
      </c>
      <c r="D80" s="157" t="s">
        <v>65</v>
      </c>
      <c r="E80" s="112">
        <v>2014</v>
      </c>
      <c r="F80" s="69" t="s">
        <v>67</v>
      </c>
      <c r="H80" s="80">
        <f>C80/(E7*12)</f>
        <v>6.2143659733073688</v>
      </c>
      <c r="I80" s="69" t="s">
        <v>68</v>
      </c>
      <c r="N80" s="60" t="s">
        <v>158</v>
      </c>
      <c r="O80" s="54" t="s">
        <v>105</v>
      </c>
      <c r="P80" s="59">
        <v>33.299999999999997</v>
      </c>
      <c r="Q80" s="45">
        <v>5.45</v>
      </c>
      <c r="R80" s="46"/>
      <c r="S80" s="47"/>
      <c r="T80" s="47"/>
      <c r="U80" s="47"/>
      <c r="V80" s="47"/>
      <c r="W80" s="47"/>
      <c r="X80" s="47"/>
      <c r="Y80" s="47"/>
      <c r="Z80" s="61"/>
      <c r="AA80" s="61"/>
      <c r="AB80" s="28">
        <v>2</v>
      </c>
      <c r="AC80" s="6">
        <f>P79*Q79*AB80</f>
        <v>490.5</v>
      </c>
    </row>
    <row r="81" spans="1:29" ht="15" customHeight="1">
      <c r="N81" s="60" t="s">
        <v>126</v>
      </c>
      <c r="O81" s="54" t="s">
        <v>106</v>
      </c>
      <c r="P81" s="59">
        <v>36.1</v>
      </c>
      <c r="Q81" s="45">
        <v>5.45</v>
      </c>
      <c r="R81" s="48"/>
      <c r="S81" s="49"/>
      <c r="T81" s="53"/>
      <c r="U81" s="49"/>
      <c r="V81" s="49"/>
      <c r="W81" s="50"/>
      <c r="X81" s="50"/>
      <c r="Y81" s="50"/>
      <c r="Z81" s="50"/>
      <c r="AA81" s="50"/>
      <c r="AB81" s="42">
        <v>5</v>
      </c>
      <c r="AC81" s="6">
        <f>P80*Q80*AB81</f>
        <v>907.42499999999995</v>
      </c>
    </row>
    <row r="82" spans="1:29" ht="15" customHeight="1">
      <c r="B82" s="69" t="s">
        <v>69</v>
      </c>
      <c r="N82" s="60" t="s">
        <v>127</v>
      </c>
      <c r="O82" s="54">
        <v>7</v>
      </c>
      <c r="P82" s="59">
        <v>36.299999999999997</v>
      </c>
      <c r="Q82" s="45">
        <v>5.45</v>
      </c>
      <c r="R82" s="48"/>
      <c r="S82" s="49"/>
      <c r="T82" s="49"/>
      <c r="U82" s="49"/>
      <c r="V82" s="49"/>
      <c r="W82" s="49"/>
      <c r="X82" s="49"/>
      <c r="Y82" s="50"/>
      <c r="Z82" s="50"/>
      <c r="AA82" s="50"/>
      <c r="AB82" s="42">
        <v>3</v>
      </c>
      <c r="AC82" s="6">
        <f>P81*Q81*AB82</f>
        <v>590.23500000000001</v>
      </c>
    </row>
    <row r="83" spans="1:29" ht="15" customHeight="1">
      <c r="B83" s="69" t="s">
        <v>41</v>
      </c>
      <c r="I83" s="69" t="s">
        <v>70</v>
      </c>
      <c r="M83" s="60"/>
      <c r="N83" s="60" t="s">
        <v>159</v>
      </c>
      <c r="O83" s="54" t="s">
        <v>107</v>
      </c>
      <c r="P83" s="59">
        <v>33.5</v>
      </c>
      <c r="Q83" s="45">
        <v>5.45</v>
      </c>
      <c r="R83" s="48"/>
      <c r="S83" s="49"/>
      <c r="T83" s="49"/>
      <c r="U83" s="49"/>
      <c r="V83" s="49"/>
      <c r="W83" s="49"/>
      <c r="X83" s="49"/>
      <c r="Y83" s="49"/>
      <c r="Z83" s="50"/>
      <c r="AA83" s="50"/>
      <c r="AB83" s="57">
        <v>2</v>
      </c>
      <c r="AC83" s="6"/>
    </row>
    <row r="84" spans="1:29" ht="15" customHeight="1">
      <c r="K84" s="70" t="s">
        <v>226</v>
      </c>
      <c r="M84" s="60"/>
      <c r="N84" s="60" t="s">
        <v>128</v>
      </c>
      <c r="O84" s="54" t="s">
        <v>108</v>
      </c>
      <c r="P84" s="59">
        <v>45.1</v>
      </c>
      <c r="Q84" s="45">
        <v>5.45</v>
      </c>
      <c r="R84" s="48"/>
      <c r="S84" s="49"/>
      <c r="T84" s="50"/>
      <c r="U84" s="50"/>
      <c r="V84" s="50"/>
      <c r="W84" s="50"/>
      <c r="X84" s="50"/>
      <c r="Y84" s="50"/>
      <c r="Z84" s="50"/>
      <c r="AA84" s="50"/>
      <c r="AB84" s="51">
        <v>8</v>
      </c>
      <c r="AC84" s="6">
        <f t="shared" ref="AC84:AC104" si="0">P83*Q83*AB84</f>
        <v>1460.6000000000001</v>
      </c>
    </row>
    <row r="85" spans="1:29" ht="15" customHeight="1">
      <c r="A85" s="227"/>
      <c r="B85" s="227"/>
      <c r="C85" s="227"/>
      <c r="D85" s="227"/>
      <c r="E85" s="227"/>
      <c r="F85" s="227"/>
      <c r="G85" s="227"/>
      <c r="H85" s="227"/>
      <c r="I85" s="227"/>
      <c r="J85" s="227"/>
      <c r="K85" s="227"/>
      <c r="M85" s="60"/>
      <c r="N85" s="60" t="s">
        <v>128</v>
      </c>
      <c r="O85" s="54" t="s">
        <v>109</v>
      </c>
      <c r="P85" s="59">
        <v>48.5</v>
      </c>
      <c r="Q85" s="45">
        <v>5.45</v>
      </c>
      <c r="R85" s="48"/>
      <c r="S85" s="49"/>
      <c r="T85" s="50"/>
      <c r="U85" s="50"/>
      <c r="V85" s="50"/>
      <c r="W85" s="50"/>
      <c r="X85" s="50"/>
      <c r="Y85" s="50"/>
      <c r="Z85" s="50"/>
      <c r="AA85" s="50"/>
      <c r="AB85" s="42">
        <v>8</v>
      </c>
      <c r="AC85" s="6">
        <f t="shared" si="0"/>
        <v>1966.3600000000001</v>
      </c>
    </row>
    <row r="86" spans="1:29" ht="15" customHeight="1">
      <c r="M86" s="60"/>
      <c r="N86" s="60" t="s">
        <v>129</v>
      </c>
      <c r="O86" s="54" t="s">
        <v>110</v>
      </c>
      <c r="P86" s="59">
        <v>33.299999999999997</v>
      </c>
      <c r="Q86" s="45">
        <v>5.45</v>
      </c>
      <c r="R86" s="48"/>
      <c r="S86" s="49"/>
      <c r="T86" s="50"/>
      <c r="U86" s="50"/>
      <c r="V86" s="50"/>
      <c r="W86" s="50"/>
      <c r="X86" s="50"/>
      <c r="Y86" s="50"/>
      <c r="Z86" s="50"/>
      <c r="AA86" s="50"/>
      <c r="AB86" s="42">
        <v>8</v>
      </c>
      <c r="AC86" s="6">
        <f t="shared" si="0"/>
        <v>2114.6</v>
      </c>
    </row>
    <row r="87" spans="1:29" ht="15" customHeight="1">
      <c r="M87" s="60"/>
      <c r="N87" s="60" t="s">
        <v>130</v>
      </c>
      <c r="O87" s="54" t="s">
        <v>111</v>
      </c>
      <c r="P87" s="59">
        <v>35.799999999999997</v>
      </c>
      <c r="Q87" s="45">
        <v>5.45</v>
      </c>
      <c r="R87" s="48"/>
      <c r="S87" s="49"/>
      <c r="T87" s="50"/>
      <c r="U87" s="50"/>
      <c r="V87" s="50"/>
      <c r="W87" s="50"/>
      <c r="X87" s="50"/>
      <c r="Y87" s="50"/>
      <c r="Z87" s="50"/>
      <c r="AA87" s="50"/>
      <c r="AB87" s="42">
        <v>8</v>
      </c>
      <c r="AC87" s="6">
        <f t="shared" si="0"/>
        <v>1451.8799999999999</v>
      </c>
    </row>
    <row r="88" spans="1:29" ht="15" customHeight="1">
      <c r="M88" s="60"/>
      <c r="N88" s="60" t="s">
        <v>131</v>
      </c>
      <c r="O88" s="54" t="s">
        <v>112</v>
      </c>
      <c r="P88" s="58">
        <v>36</v>
      </c>
      <c r="Q88" s="45">
        <v>5.45</v>
      </c>
      <c r="R88" s="48"/>
      <c r="S88" s="49"/>
      <c r="T88" s="49"/>
      <c r="U88" s="49"/>
      <c r="V88" s="49"/>
      <c r="W88" s="49"/>
      <c r="X88" s="50"/>
      <c r="Y88" s="50"/>
      <c r="Z88" s="50"/>
      <c r="AA88" s="50"/>
      <c r="AB88" s="42">
        <v>4</v>
      </c>
      <c r="AC88" s="6">
        <f t="shared" si="0"/>
        <v>780.43999999999994</v>
      </c>
    </row>
    <row r="89" spans="1:29" ht="15" customHeight="1">
      <c r="M89" s="60"/>
      <c r="N89" s="60" t="s">
        <v>132</v>
      </c>
      <c r="O89" s="54" t="s">
        <v>113</v>
      </c>
      <c r="P89" s="59">
        <v>36.200000000000003</v>
      </c>
      <c r="Q89" s="45">
        <v>5.45</v>
      </c>
      <c r="R89" s="48"/>
      <c r="S89" s="49"/>
      <c r="T89" s="49"/>
      <c r="U89" s="49"/>
      <c r="V89" s="49"/>
      <c r="W89" s="49"/>
      <c r="X89" s="49"/>
      <c r="Y89" s="50"/>
      <c r="Z89" s="50"/>
      <c r="AA89" s="50"/>
      <c r="AB89" s="42">
        <v>3</v>
      </c>
      <c r="AC89" s="6">
        <f t="shared" si="0"/>
        <v>588.6</v>
      </c>
    </row>
    <row r="90" spans="1:29" ht="20.25" customHeight="1">
      <c r="M90" s="60"/>
      <c r="N90" s="60" t="s">
        <v>128</v>
      </c>
      <c r="O90" s="54" t="s">
        <v>114</v>
      </c>
      <c r="P90" s="59">
        <v>36.200000000000003</v>
      </c>
      <c r="Q90" s="45">
        <v>5.45</v>
      </c>
      <c r="R90" s="48"/>
      <c r="S90" s="49"/>
      <c r="T90" s="50"/>
      <c r="U90" s="50"/>
      <c r="V90" s="50"/>
      <c r="W90" s="50"/>
      <c r="X90" s="50"/>
      <c r="Y90" s="50"/>
      <c r="Z90" s="50"/>
      <c r="AA90" s="50"/>
      <c r="AB90" s="42">
        <v>8</v>
      </c>
      <c r="AC90" s="6">
        <f t="shared" si="0"/>
        <v>1578.3200000000002</v>
      </c>
    </row>
    <row r="91" spans="1:29" ht="21.75" customHeight="1">
      <c r="M91" s="60"/>
      <c r="N91" s="60" t="s">
        <v>133</v>
      </c>
      <c r="O91" s="54" t="s">
        <v>115</v>
      </c>
      <c r="P91" s="59">
        <v>36.200000000000003</v>
      </c>
      <c r="Q91" s="45">
        <v>5.45</v>
      </c>
      <c r="R91" s="48"/>
      <c r="S91" s="49"/>
      <c r="T91" s="49"/>
      <c r="U91" s="50"/>
      <c r="V91" s="50"/>
      <c r="W91" s="50"/>
      <c r="X91" s="50"/>
      <c r="Y91" s="50"/>
      <c r="Z91" s="50"/>
      <c r="AA91" s="50"/>
      <c r="AB91" s="42">
        <v>7</v>
      </c>
      <c r="AC91" s="6">
        <f t="shared" si="0"/>
        <v>1381.0300000000002</v>
      </c>
    </row>
    <row r="92" spans="1:29" ht="22.5" customHeight="1">
      <c r="M92" s="60"/>
      <c r="N92" s="60" t="s">
        <v>130</v>
      </c>
      <c r="O92" s="54" t="s">
        <v>116</v>
      </c>
      <c r="P92" s="59">
        <v>36.1</v>
      </c>
      <c r="Q92" s="45">
        <v>5.45</v>
      </c>
      <c r="R92" s="48"/>
      <c r="S92" s="49"/>
      <c r="T92" s="50"/>
      <c r="U92" s="50"/>
      <c r="V92" s="50"/>
      <c r="W92" s="50"/>
      <c r="X92" s="50"/>
      <c r="Y92" s="50"/>
      <c r="Z92" s="50"/>
      <c r="AA92" s="50"/>
      <c r="AB92" s="42">
        <v>8</v>
      </c>
      <c r="AC92" s="6">
        <f t="shared" si="0"/>
        <v>1578.3200000000002</v>
      </c>
    </row>
    <row r="93" spans="1:29" ht="20.25" customHeight="1">
      <c r="L93" s="70"/>
      <c r="M93" s="60"/>
      <c r="N93" s="60" t="s">
        <v>134</v>
      </c>
      <c r="O93" s="54" t="s">
        <v>117</v>
      </c>
      <c r="P93" s="59">
        <v>33.5</v>
      </c>
      <c r="Q93" s="45">
        <v>5.45</v>
      </c>
      <c r="R93" s="48"/>
      <c r="S93" s="49"/>
      <c r="T93" s="49"/>
      <c r="U93" s="49"/>
      <c r="V93" s="49"/>
      <c r="W93" s="49"/>
      <c r="X93" s="49"/>
      <c r="Y93" s="50"/>
      <c r="Z93" s="50"/>
      <c r="AA93" s="50"/>
      <c r="AB93" s="42">
        <v>3</v>
      </c>
      <c r="AC93" s="6">
        <f t="shared" si="0"/>
        <v>590.23500000000001</v>
      </c>
    </row>
    <row r="94" spans="1:29" ht="19.5" customHeight="1">
      <c r="M94" s="60"/>
      <c r="N94" s="60" t="s">
        <v>135</v>
      </c>
      <c r="O94" s="54" t="s">
        <v>118</v>
      </c>
      <c r="P94" s="59">
        <v>48.4</v>
      </c>
      <c r="Q94" s="45">
        <v>5.45</v>
      </c>
      <c r="R94" s="48"/>
      <c r="S94" s="49"/>
      <c r="T94" s="49"/>
      <c r="U94" s="49"/>
      <c r="V94" s="50"/>
      <c r="W94" s="50"/>
      <c r="X94" s="50"/>
      <c r="Y94" s="50"/>
      <c r="Z94" s="50"/>
      <c r="AA94" s="50"/>
      <c r="AB94" s="42">
        <v>6</v>
      </c>
      <c r="AC94" s="6">
        <f t="shared" si="0"/>
        <v>1095.45</v>
      </c>
    </row>
    <row r="95" spans="1:29" ht="21.75" customHeight="1">
      <c r="M95" s="60"/>
      <c r="N95" s="60" t="s">
        <v>136</v>
      </c>
      <c r="O95" s="54" t="s">
        <v>119</v>
      </c>
      <c r="P95" s="59">
        <v>48.8</v>
      </c>
      <c r="Q95" s="45">
        <v>5.45</v>
      </c>
      <c r="R95" s="48"/>
      <c r="S95" s="49"/>
      <c r="T95" s="50"/>
      <c r="U95" s="50"/>
      <c r="V95" s="50"/>
      <c r="W95" s="50"/>
      <c r="X95" s="50"/>
      <c r="Y95" s="50"/>
      <c r="Z95" s="50"/>
      <c r="AA95" s="50"/>
      <c r="AB95" s="42">
        <v>8</v>
      </c>
      <c r="AC95" s="6">
        <f t="shared" si="0"/>
        <v>2110.2399999999998</v>
      </c>
    </row>
    <row r="96" spans="1:29" ht="15" customHeight="1">
      <c r="K96" s="113"/>
      <c r="M96" s="60"/>
      <c r="N96" s="60" t="s">
        <v>130</v>
      </c>
      <c r="O96" s="54">
        <v>22</v>
      </c>
      <c r="P96" s="59">
        <v>33.200000000000003</v>
      </c>
      <c r="Q96" s="45">
        <v>5.45</v>
      </c>
      <c r="R96" s="48"/>
      <c r="S96" s="49"/>
      <c r="T96" s="50"/>
      <c r="U96" s="50"/>
      <c r="V96" s="50"/>
      <c r="W96" s="50"/>
      <c r="X96" s="50"/>
      <c r="Y96" s="50"/>
      <c r="Z96" s="50"/>
      <c r="AA96" s="50"/>
      <c r="AB96" s="42">
        <v>8</v>
      </c>
      <c r="AC96" s="6">
        <f t="shared" si="0"/>
        <v>2127.6799999999998</v>
      </c>
    </row>
    <row r="97" spans="11:32" ht="15" customHeight="1">
      <c r="M97" s="60"/>
      <c r="N97" s="60" t="s">
        <v>160</v>
      </c>
      <c r="O97" s="54" t="s">
        <v>120</v>
      </c>
      <c r="P97" s="59">
        <v>35.6</v>
      </c>
      <c r="Q97" s="45">
        <v>5.45</v>
      </c>
      <c r="R97" s="48"/>
      <c r="S97" s="49"/>
      <c r="T97" s="49"/>
      <c r="U97" s="49"/>
      <c r="V97" s="49"/>
      <c r="W97" s="50"/>
      <c r="X97" s="50"/>
      <c r="Y97" s="50"/>
      <c r="Z97" s="50"/>
      <c r="AA97" s="50"/>
      <c r="AB97" s="57">
        <v>5</v>
      </c>
      <c r="AC97" s="6">
        <f t="shared" si="0"/>
        <v>904.70000000000016</v>
      </c>
    </row>
    <row r="98" spans="11:32" ht="15" customHeight="1">
      <c r="M98" s="60"/>
      <c r="N98" s="60" t="s">
        <v>137</v>
      </c>
      <c r="O98" s="54" t="s">
        <v>121</v>
      </c>
      <c r="P98" s="59">
        <v>36.1</v>
      </c>
      <c r="Q98" s="45">
        <v>5.45</v>
      </c>
      <c r="R98" s="48"/>
      <c r="S98" s="49"/>
      <c r="T98" s="49"/>
      <c r="U98" s="49"/>
      <c r="V98" s="49"/>
      <c r="W98" s="50"/>
      <c r="X98" s="50"/>
      <c r="Y98" s="50"/>
      <c r="Z98" s="50"/>
      <c r="AA98" s="50"/>
      <c r="AB98" s="51">
        <v>5</v>
      </c>
      <c r="AC98" s="6">
        <f t="shared" si="0"/>
        <v>970.1</v>
      </c>
    </row>
    <row r="99" spans="11:32" ht="15" customHeight="1">
      <c r="K99" s="113"/>
      <c r="M99" s="60"/>
      <c r="N99" s="60" t="s">
        <v>98</v>
      </c>
      <c r="O99" s="54">
        <v>25</v>
      </c>
      <c r="P99" s="59">
        <v>36.299999999999997</v>
      </c>
      <c r="Q99" s="45">
        <v>5.45</v>
      </c>
      <c r="R99" s="48"/>
      <c r="S99" s="49"/>
      <c r="T99" s="49"/>
      <c r="U99" s="50"/>
      <c r="V99" s="50"/>
      <c r="W99" s="50"/>
      <c r="X99" s="50"/>
      <c r="Y99" s="50"/>
      <c r="Z99" s="50"/>
      <c r="AA99" s="50"/>
      <c r="AB99" s="51">
        <v>7</v>
      </c>
      <c r="AC99" s="6">
        <f t="shared" si="0"/>
        <v>1377.2150000000001</v>
      </c>
    </row>
    <row r="100" spans="11:32" ht="15" customHeight="1">
      <c r="K100" s="113"/>
      <c r="M100" s="60"/>
      <c r="N100" s="60" t="s">
        <v>161</v>
      </c>
      <c r="O100" s="54" t="s">
        <v>122</v>
      </c>
      <c r="P100" s="59">
        <v>36.200000000000003</v>
      </c>
      <c r="Q100" s="45">
        <v>5.45</v>
      </c>
      <c r="R100" s="48"/>
      <c r="S100" s="49"/>
      <c r="T100" s="49"/>
      <c r="U100" s="49"/>
      <c r="V100" s="49"/>
      <c r="W100" s="49"/>
      <c r="X100" s="49"/>
      <c r="Y100" s="49"/>
      <c r="Z100" s="50"/>
      <c r="AA100" s="50"/>
      <c r="AB100" s="51">
        <v>2</v>
      </c>
      <c r="AC100" s="6">
        <f t="shared" si="0"/>
        <v>395.66999999999996</v>
      </c>
    </row>
    <row r="101" spans="11:32" ht="15" customHeight="1">
      <c r="M101" s="60"/>
      <c r="N101" s="60" t="s">
        <v>135</v>
      </c>
      <c r="O101" s="54" t="s">
        <v>123</v>
      </c>
      <c r="P101" s="59">
        <v>35.799999999999997</v>
      </c>
      <c r="Q101" s="45">
        <v>5.45</v>
      </c>
      <c r="R101" s="48"/>
      <c r="S101" s="49"/>
      <c r="T101" s="49"/>
      <c r="U101" s="49"/>
      <c r="V101" s="50"/>
      <c r="W101" s="50"/>
      <c r="X101" s="50"/>
      <c r="Y101" s="50"/>
      <c r="Z101" s="50"/>
      <c r="AA101" s="50"/>
      <c r="AB101" s="51">
        <v>6</v>
      </c>
      <c r="AC101" s="6">
        <f t="shared" si="0"/>
        <v>1183.7400000000002</v>
      </c>
    </row>
    <row r="102" spans="11:32" ht="15" customHeight="1">
      <c r="K102" s="113"/>
      <c r="M102" s="60"/>
      <c r="N102" s="60" t="s">
        <v>138</v>
      </c>
      <c r="O102" s="54" t="s">
        <v>124</v>
      </c>
      <c r="P102" s="59">
        <v>33.299999999999997</v>
      </c>
      <c r="Q102" s="45">
        <v>5.45</v>
      </c>
      <c r="R102" s="48"/>
      <c r="S102" s="49"/>
      <c r="T102" s="49"/>
      <c r="U102" s="49"/>
      <c r="V102" s="49"/>
      <c r="W102" s="49"/>
      <c r="X102" s="50"/>
      <c r="Y102" s="50"/>
      <c r="Z102" s="50"/>
      <c r="AA102" s="50"/>
      <c r="AB102" s="51">
        <v>4</v>
      </c>
      <c r="AC102" s="6">
        <f t="shared" si="0"/>
        <v>780.43999999999994</v>
      </c>
    </row>
    <row r="103" spans="11:32" ht="15" customHeight="1">
      <c r="M103" s="60"/>
      <c r="N103" s="60" t="s">
        <v>139</v>
      </c>
      <c r="O103" s="54" t="s">
        <v>125</v>
      </c>
      <c r="P103" s="59">
        <v>48.8</v>
      </c>
      <c r="Q103" s="45">
        <v>5.45</v>
      </c>
      <c r="R103" s="48"/>
      <c r="S103" s="49"/>
      <c r="T103" s="49"/>
      <c r="U103" s="49"/>
      <c r="V103" s="49"/>
      <c r="W103" s="50"/>
      <c r="X103" s="50"/>
      <c r="Y103" s="50"/>
      <c r="Z103" s="50"/>
      <c r="AA103" s="50"/>
      <c r="AB103" s="51">
        <v>5</v>
      </c>
      <c r="AC103" s="6">
        <f t="shared" si="0"/>
        <v>907.42499999999995</v>
      </c>
    </row>
    <row r="104" spans="11:32" ht="15" customHeight="1">
      <c r="M104" s="60"/>
      <c r="N104" s="60" t="s">
        <v>140</v>
      </c>
      <c r="P104" s="44"/>
      <c r="Q104" s="52"/>
      <c r="R104" s="48"/>
      <c r="S104" s="49"/>
      <c r="T104" s="49"/>
      <c r="U104" s="50"/>
      <c r="V104" s="50"/>
      <c r="W104" s="50"/>
      <c r="X104" s="50"/>
      <c r="Y104" s="50"/>
      <c r="Z104" s="50"/>
      <c r="AA104" s="50"/>
      <c r="AB104" s="51">
        <v>7</v>
      </c>
      <c r="AC104" s="6">
        <f t="shared" si="0"/>
        <v>1861.7199999999998</v>
      </c>
    </row>
    <row r="105" spans="11:32">
      <c r="M105" s="60"/>
      <c r="S105" s="49"/>
      <c r="T105" s="49"/>
      <c r="U105" s="49"/>
      <c r="V105" s="49"/>
      <c r="W105" s="49"/>
      <c r="X105" s="49"/>
      <c r="Y105" s="49"/>
      <c r="Z105" s="49"/>
      <c r="AA105" s="49"/>
      <c r="AC105" s="6">
        <f>SUM(AC80:AC104)</f>
        <v>29192.924999999999</v>
      </c>
    </row>
    <row r="106" spans="11:32">
      <c r="M106" s="60"/>
      <c r="V106" s="49"/>
      <c r="W106" s="49"/>
      <c r="X106" s="49"/>
      <c r="Y106" s="49"/>
      <c r="Z106" s="49"/>
      <c r="AA106" s="49"/>
      <c r="AB106" s="49"/>
      <c r="AC106" s="49"/>
      <c r="AD106" s="49"/>
      <c r="AF106" s="6">
        <f>AC105/1.03</f>
        <v>28342.64563106796</v>
      </c>
    </row>
    <row r="107" spans="11:32">
      <c r="M107" s="60"/>
      <c r="V107" s="49"/>
      <c r="W107" s="49"/>
      <c r="X107" s="49"/>
      <c r="Y107" s="49"/>
      <c r="Z107" s="49"/>
      <c r="AA107" s="49"/>
      <c r="AB107" s="49"/>
      <c r="AC107" s="49"/>
      <c r="AD107" s="49"/>
    </row>
    <row r="108" spans="11:32">
      <c r="V108" s="49"/>
      <c r="W108" s="49"/>
      <c r="X108" s="49"/>
      <c r="Y108" s="49"/>
      <c r="Z108" s="49"/>
      <c r="AA108" s="49"/>
      <c r="AB108" s="49"/>
      <c r="AC108" s="49"/>
      <c r="AD108" s="49"/>
    </row>
    <row r="109" spans="11:32">
      <c r="V109" s="49"/>
      <c r="W109" s="49"/>
      <c r="X109" s="49"/>
      <c r="Y109" s="49"/>
      <c r="Z109" s="49"/>
      <c r="AA109" s="49"/>
      <c r="AB109" s="49"/>
      <c r="AC109" s="49"/>
      <c r="AD109" s="49"/>
    </row>
  </sheetData>
  <mergeCells count="78">
    <mergeCell ref="A85:K85"/>
    <mergeCell ref="K33:L33"/>
    <mergeCell ref="K34:L34"/>
    <mergeCell ref="N25:O25"/>
    <mergeCell ref="K27:L27"/>
    <mergeCell ref="B31:H31"/>
    <mergeCell ref="B34:H34"/>
    <mergeCell ref="B32:H32"/>
    <mergeCell ref="A65:L65"/>
    <mergeCell ref="B42:H42"/>
    <mergeCell ref="K42:L42"/>
    <mergeCell ref="B25:H25"/>
    <mergeCell ref="B27:H27"/>
    <mergeCell ref="F52:H52"/>
    <mergeCell ref="B41:H41"/>
    <mergeCell ref="I53:L53"/>
    <mergeCell ref="I54:L54"/>
    <mergeCell ref="I55:L55"/>
    <mergeCell ref="A2:L2"/>
    <mergeCell ref="A3:L3"/>
    <mergeCell ref="A8:B8"/>
    <mergeCell ref="A21:B21"/>
    <mergeCell ref="K22:L22"/>
    <mergeCell ref="B22:H22"/>
    <mergeCell ref="D5:J5"/>
    <mergeCell ref="I48:L48"/>
    <mergeCell ref="K41:L41"/>
    <mergeCell ref="B26:H26"/>
    <mergeCell ref="K26:L26"/>
    <mergeCell ref="B53:E53"/>
    <mergeCell ref="B54:E54"/>
    <mergeCell ref="B55:E55"/>
    <mergeCell ref="B48:E48"/>
    <mergeCell ref="F48:H48"/>
    <mergeCell ref="B50:E50"/>
    <mergeCell ref="B51:E51"/>
    <mergeCell ref="F50:H50"/>
    <mergeCell ref="F51:H51"/>
    <mergeCell ref="B49:E49"/>
    <mergeCell ref="F49:H49"/>
    <mergeCell ref="F53:H53"/>
    <mergeCell ref="F54:H54"/>
    <mergeCell ref="F55:H55"/>
    <mergeCell ref="B30:H30"/>
    <mergeCell ref="K25:L25"/>
    <mergeCell ref="K30:L30"/>
    <mergeCell ref="K44:L44"/>
    <mergeCell ref="B52:E52"/>
    <mergeCell ref="I49:L49"/>
    <mergeCell ref="I50:L50"/>
    <mergeCell ref="I51:L51"/>
    <mergeCell ref="I52:L52"/>
    <mergeCell ref="K31:L31"/>
    <mergeCell ref="K32:L32"/>
    <mergeCell ref="B28:H28"/>
    <mergeCell ref="K28:L28"/>
    <mergeCell ref="B43:H43"/>
    <mergeCell ref="K35:L35"/>
    <mergeCell ref="B37:H37"/>
    <mergeCell ref="K37:L37"/>
    <mergeCell ref="B39:H39"/>
    <mergeCell ref="K39:L39"/>
    <mergeCell ref="A69:E69"/>
    <mergeCell ref="K23:L23"/>
    <mergeCell ref="K24:L24"/>
    <mergeCell ref="B23:H23"/>
    <mergeCell ref="B24:H24"/>
    <mergeCell ref="K43:L43"/>
    <mergeCell ref="B33:H33"/>
    <mergeCell ref="B36:H36"/>
    <mergeCell ref="K36:L36"/>
    <mergeCell ref="B38:H38"/>
    <mergeCell ref="K38:L38"/>
    <mergeCell ref="B40:H40"/>
    <mergeCell ref="K40:L40"/>
    <mergeCell ref="B35:H35"/>
    <mergeCell ref="B29:H29"/>
    <mergeCell ref="K29:L29"/>
  </mergeCells>
  <pageMargins left="0.17" right="0.11811023622047245" top="0.28000000000000003" bottom="0.4" header="0.2" footer="0.31496062992125984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L93"/>
  <sheetViews>
    <sheetView tabSelected="1" zoomScale="80" zoomScaleNormal="80" workbookViewId="0">
      <pane xSplit="12" ySplit="2" topLeftCell="M3" activePane="bottomRight" state="frozen"/>
      <selection pane="topRight" activeCell="M1" sqref="M1"/>
      <selection pane="bottomLeft" activeCell="A2" sqref="A2"/>
      <selection pane="bottomRight" activeCell="N10" sqref="N10"/>
    </sheetView>
  </sheetViews>
  <sheetFormatPr defaultRowHeight="15"/>
  <cols>
    <col min="1" max="1" width="7.85546875" customWidth="1"/>
    <col min="2" max="2" width="10.42578125" customWidth="1"/>
    <col min="3" max="3" width="12.140625" customWidth="1"/>
    <col min="4" max="4" width="6.28515625" customWidth="1"/>
    <col min="5" max="5" width="9.42578125" customWidth="1"/>
    <col min="6" max="6" width="9.7109375" customWidth="1"/>
    <col min="7" max="7" width="12.42578125" customWidth="1"/>
    <col min="8" max="8" width="8.28515625" customWidth="1"/>
    <col min="9" max="9" width="9.42578125" customWidth="1"/>
    <col min="10" max="10" width="12.28515625" style="49" customWidth="1"/>
    <col min="11" max="11" width="12.140625" customWidth="1"/>
    <col min="12" max="12" width="3.85546875" customWidth="1"/>
  </cols>
  <sheetData>
    <row r="1" spans="1:12" ht="30" customHeight="1">
      <c r="J1" s="280" t="s">
        <v>254</v>
      </c>
      <c r="K1" s="280"/>
      <c r="L1" s="279"/>
    </row>
    <row r="2" spans="1:12" ht="18.75">
      <c r="A2" s="252" t="s">
        <v>0</v>
      </c>
      <c r="B2" s="252"/>
      <c r="C2" s="252"/>
      <c r="D2" s="252"/>
      <c r="E2" s="252"/>
      <c r="F2" s="252"/>
      <c r="G2" s="252"/>
      <c r="H2" s="252"/>
      <c r="I2" s="252"/>
      <c r="J2" s="252"/>
      <c r="K2" s="252"/>
      <c r="L2" s="252"/>
    </row>
    <row r="3" spans="1:12" ht="18.75">
      <c r="A3" s="252" t="s">
        <v>1</v>
      </c>
      <c r="B3" s="252"/>
      <c r="C3" s="252"/>
      <c r="D3" s="252"/>
      <c r="E3" s="252"/>
      <c r="F3" s="252"/>
      <c r="G3" s="252"/>
      <c r="H3" s="252"/>
      <c r="I3" s="252"/>
      <c r="J3" s="252"/>
      <c r="K3" s="252"/>
      <c r="L3" s="252"/>
    </row>
    <row r="4" spans="1:12" ht="18.75">
      <c r="A4" s="1"/>
      <c r="B4" s="2"/>
      <c r="C4" s="4" t="s">
        <v>2</v>
      </c>
      <c r="D4" s="39">
        <v>101</v>
      </c>
      <c r="E4" s="252" t="s">
        <v>85</v>
      </c>
      <c r="F4" s="252"/>
      <c r="G4" s="252"/>
      <c r="H4" s="252"/>
      <c r="I4" s="39">
        <v>2014</v>
      </c>
      <c r="J4" s="281" t="s">
        <v>24</v>
      </c>
    </row>
    <row r="6" spans="1:12" ht="15.75">
      <c r="A6" s="3" t="s">
        <v>29</v>
      </c>
      <c r="B6" s="36">
        <f>I4</f>
        <v>2014</v>
      </c>
      <c r="C6" t="s">
        <v>30</v>
      </c>
      <c r="D6" s="62" t="s">
        <v>172</v>
      </c>
      <c r="E6" s="115">
        <v>1133.9000000000001</v>
      </c>
      <c r="F6" t="s">
        <v>66</v>
      </c>
    </row>
    <row r="7" spans="1:12" ht="15.75">
      <c r="A7" s="253">
        <v>711101.75</v>
      </c>
      <c r="B7" s="253"/>
      <c r="C7" s="5" t="s">
        <v>3</v>
      </c>
      <c r="G7" s="8">
        <f>A7-J8</f>
        <v>516177.01</v>
      </c>
      <c r="H7" s="181" t="s">
        <v>247</v>
      </c>
      <c r="I7" s="7">
        <f>(G7/A7)*100</f>
        <v>72.588347588794434</v>
      </c>
      <c r="J7" s="49" t="s">
        <v>4</v>
      </c>
    </row>
    <row r="8" spans="1:12" ht="15.75">
      <c r="A8" t="s">
        <v>83</v>
      </c>
      <c r="J8" s="282">
        <v>194924.74</v>
      </c>
      <c r="K8" t="s">
        <v>5</v>
      </c>
    </row>
    <row r="9" spans="1:12">
      <c r="A9" t="s">
        <v>82</v>
      </c>
    </row>
    <row r="10" spans="1:12">
      <c r="A10" t="s">
        <v>248</v>
      </c>
      <c r="B10" s="23">
        <v>16551.759999999998</v>
      </c>
      <c r="C10" t="s">
        <v>10</v>
      </c>
      <c r="E10" s="30" t="s">
        <v>250</v>
      </c>
      <c r="F10" s="23">
        <v>43741.03</v>
      </c>
      <c r="G10" t="s">
        <v>10</v>
      </c>
      <c r="I10" s="30"/>
      <c r="J10" s="160"/>
    </row>
    <row r="11" spans="1:12">
      <c r="A11" t="s">
        <v>249</v>
      </c>
      <c r="B11" s="23">
        <v>26084.86</v>
      </c>
      <c r="C11" t="s">
        <v>10</v>
      </c>
      <c r="E11" s="30" t="s">
        <v>251</v>
      </c>
      <c r="F11" s="23">
        <v>24167.32</v>
      </c>
      <c r="G11" t="s">
        <v>10</v>
      </c>
      <c r="I11" s="30"/>
      <c r="J11" s="160"/>
    </row>
    <row r="12" spans="1:12">
      <c r="B12" s="23"/>
      <c r="E12" s="37"/>
      <c r="F12" s="23"/>
      <c r="I12" s="37"/>
      <c r="J12" s="160"/>
    </row>
    <row r="13" spans="1:12" ht="15.75">
      <c r="A13" t="s">
        <v>32</v>
      </c>
      <c r="J13" s="160">
        <f>G14+G15+G16+G17</f>
        <v>194924.74</v>
      </c>
      <c r="K13" s="25" t="s">
        <v>33</v>
      </c>
    </row>
    <row r="14" spans="1:12">
      <c r="A14" s="9" t="s">
        <v>6</v>
      </c>
      <c r="B14" t="s">
        <v>7</v>
      </c>
      <c r="G14" s="6">
        <f>(J8*43.5/100)</f>
        <v>84792.261899999998</v>
      </c>
      <c r="H14" t="s">
        <v>10</v>
      </c>
    </row>
    <row r="15" spans="1:12">
      <c r="A15" s="9" t="s">
        <v>6</v>
      </c>
      <c r="B15" t="s">
        <v>8</v>
      </c>
      <c r="G15" s="6">
        <f>(J8*36.6/100)</f>
        <v>71342.454840000006</v>
      </c>
      <c r="H15" t="s">
        <v>10</v>
      </c>
    </row>
    <row r="16" spans="1:12">
      <c r="A16" s="9" t="s">
        <v>6</v>
      </c>
      <c r="B16" t="s">
        <v>9</v>
      </c>
      <c r="G16" s="6">
        <f>(J8*12.5/100)</f>
        <v>24365.592499999999</v>
      </c>
      <c r="H16" t="s">
        <v>10</v>
      </c>
      <c r="K16" s="5"/>
      <c r="L16" s="13"/>
    </row>
    <row r="17" spans="1:12">
      <c r="A17" s="9" t="s">
        <v>6</v>
      </c>
      <c r="B17" t="s">
        <v>14</v>
      </c>
      <c r="G17" s="6">
        <f>(J8*7.4/100)</f>
        <v>14424.430759999999</v>
      </c>
      <c r="H17" t="s">
        <v>10</v>
      </c>
    </row>
    <row r="18" spans="1:12">
      <c r="G18" s="24"/>
    </row>
    <row r="19" spans="1:12" ht="18.75" customHeight="1">
      <c r="A19" s="10" t="s">
        <v>11</v>
      </c>
      <c r="G19" s="6">
        <f>E6*5.45*12</f>
        <v>74157.060000000012</v>
      </c>
      <c r="H19" t="s">
        <v>12</v>
      </c>
    </row>
    <row r="20" spans="1:12" ht="15.75" thickBot="1">
      <c r="A20" s="254">
        <f>G19*I7/100</f>
        <v>53829.384474430844</v>
      </c>
      <c r="B20" s="254"/>
      <c r="C20" t="s">
        <v>72</v>
      </c>
    </row>
    <row r="21" spans="1:12">
      <c r="A21" s="11" t="s">
        <v>2</v>
      </c>
      <c r="B21" s="255" t="s">
        <v>20</v>
      </c>
      <c r="C21" s="256"/>
      <c r="D21" s="256"/>
      <c r="E21" s="256"/>
      <c r="F21" s="256"/>
      <c r="G21" s="256"/>
      <c r="H21" s="257"/>
      <c r="I21" s="11" t="s">
        <v>18</v>
      </c>
      <c r="J21" s="283" t="s">
        <v>17</v>
      </c>
      <c r="K21" s="255" t="s">
        <v>15</v>
      </c>
      <c r="L21" s="257"/>
    </row>
    <row r="22" spans="1:12" ht="15.75" thickBot="1">
      <c r="A22" s="12" t="s">
        <v>13</v>
      </c>
      <c r="B22" s="237"/>
      <c r="C22" s="238"/>
      <c r="D22" s="238"/>
      <c r="E22" s="238"/>
      <c r="F22" s="238"/>
      <c r="G22" s="238"/>
      <c r="H22" s="239"/>
      <c r="I22" s="12" t="s">
        <v>19</v>
      </c>
      <c r="J22" s="284"/>
      <c r="K22" s="240" t="s">
        <v>16</v>
      </c>
      <c r="L22" s="241"/>
    </row>
    <row r="23" spans="1:12" ht="15.75" thickBot="1">
      <c r="A23" s="65"/>
      <c r="B23" s="242" t="s">
        <v>201</v>
      </c>
      <c r="C23" s="243"/>
      <c r="D23" s="243"/>
      <c r="E23" s="243"/>
      <c r="F23" s="243"/>
      <c r="G23" s="243"/>
      <c r="H23" s="243"/>
      <c r="I23" s="66"/>
      <c r="J23" s="285"/>
      <c r="K23" s="244">
        <v>5357.63</v>
      </c>
      <c r="L23" s="245"/>
    </row>
    <row r="24" spans="1:12">
      <c r="A24" s="17">
        <v>1</v>
      </c>
      <c r="B24" s="246" t="s">
        <v>175</v>
      </c>
      <c r="C24" s="247"/>
      <c r="D24" s="247"/>
      <c r="E24" s="247"/>
      <c r="F24" s="247"/>
      <c r="G24" s="247"/>
      <c r="H24" s="231"/>
      <c r="I24" s="17" t="s">
        <v>176</v>
      </c>
      <c r="J24" s="166"/>
      <c r="K24" s="234">
        <v>4500</v>
      </c>
      <c r="L24" s="235"/>
    </row>
    <row r="25" spans="1:12" ht="15" customHeight="1">
      <c r="A25" s="162">
        <v>2</v>
      </c>
      <c r="B25" s="248" t="s">
        <v>221</v>
      </c>
      <c r="C25" s="249"/>
      <c r="D25" s="249"/>
      <c r="E25" s="249"/>
      <c r="F25" s="249"/>
      <c r="G25" s="249"/>
      <c r="H25" s="249"/>
      <c r="I25" s="117" t="s">
        <v>188</v>
      </c>
      <c r="J25" s="286">
        <v>22</v>
      </c>
      <c r="K25" s="250">
        <f>103300*0.0411</f>
        <v>4245.63</v>
      </c>
      <c r="L25" s="251"/>
    </row>
    <row r="26" spans="1:12">
      <c r="A26" s="162">
        <v>3</v>
      </c>
      <c r="B26" s="248" t="s">
        <v>222</v>
      </c>
      <c r="C26" s="249"/>
      <c r="D26" s="249"/>
      <c r="E26" s="249"/>
      <c r="F26" s="249"/>
      <c r="G26" s="249"/>
      <c r="H26" s="249"/>
      <c r="I26" s="117" t="s">
        <v>188</v>
      </c>
      <c r="J26" s="286">
        <v>7</v>
      </c>
      <c r="K26" s="250">
        <f>22050*0.0309</f>
        <v>681.34500000000003</v>
      </c>
      <c r="L26" s="251"/>
    </row>
    <row r="27" spans="1:12">
      <c r="A27" s="162">
        <v>4</v>
      </c>
      <c r="B27" s="196" t="s">
        <v>200</v>
      </c>
      <c r="C27" s="197"/>
      <c r="D27" s="197"/>
      <c r="E27" s="197"/>
      <c r="F27" s="197"/>
      <c r="G27" s="197"/>
      <c r="H27" s="193"/>
      <c r="I27" s="95" t="s">
        <v>182</v>
      </c>
      <c r="J27" s="182">
        <v>252</v>
      </c>
      <c r="K27" s="234">
        <v>1000</v>
      </c>
      <c r="L27" s="235"/>
    </row>
    <row r="28" spans="1:12">
      <c r="A28" s="162">
        <v>5</v>
      </c>
      <c r="B28" s="196" t="s">
        <v>220</v>
      </c>
      <c r="C28" s="197"/>
      <c r="D28" s="197"/>
      <c r="E28" s="197"/>
      <c r="F28" s="197"/>
      <c r="G28" s="197"/>
      <c r="H28" s="193"/>
      <c r="I28" s="161" t="s">
        <v>99</v>
      </c>
      <c r="J28" s="95">
        <v>12</v>
      </c>
      <c r="K28" s="198">
        <f>2000*8*0.1171</f>
        <v>1873.6</v>
      </c>
      <c r="L28" s="199"/>
    </row>
    <row r="29" spans="1:12">
      <c r="A29" s="162">
        <v>6</v>
      </c>
      <c r="B29" s="229" t="s">
        <v>223</v>
      </c>
      <c r="C29" s="230"/>
      <c r="D29" s="230"/>
      <c r="E29" s="230"/>
      <c r="F29" s="230"/>
      <c r="G29" s="230"/>
      <c r="H29" s="231"/>
      <c r="I29" s="117" t="s">
        <v>86</v>
      </c>
      <c r="J29" s="286">
        <v>26</v>
      </c>
      <c r="K29" s="258">
        <f>346.67*0.0309</f>
        <v>10.712103000000001</v>
      </c>
      <c r="L29" s="259"/>
    </row>
    <row r="30" spans="1:12">
      <c r="A30" s="162">
        <v>7</v>
      </c>
      <c r="B30" s="229" t="s">
        <v>224</v>
      </c>
      <c r="C30" s="230"/>
      <c r="D30" s="230"/>
      <c r="E30" s="230"/>
      <c r="F30" s="230"/>
      <c r="G30" s="230"/>
      <c r="H30" s="231"/>
      <c r="I30" s="117" t="s">
        <v>86</v>
      </c>
      <c r="J30" s="286">
        <v>21</v>
      </c>
      <c r="K30" s="234">
        <f>1041.6*0.0309</f>
        <v>32.18544</v>
      </c>
      <c r="L30" s="259"/>
    </row>
    <row r="31" spans="1:12">
      <c r="A31" s="162">
        <v>8</v>
      </c>
      <c r="B31" s="229" t="s">
        <v>225</v>
      </c>
      <c r="C31" s="247"/>
      <c r="D31" s="247"/>
      <c r="E31" s="247"/>
      <c r="F31" s="247"/>
      <c r="G31" s="247"/>
      <c r="H31" s="231"/>
      <c r="I31" s="17" t="s">
        <v>86</v>
      </c>
      <c r="J31" s="51">
        <v>2</v>
      </c>
      <c r="K31" s="234">
        <v>130</v>
      </c>
      <c r="L31" s="235"/>
    </row>
    <row r="32" spans="1:12">
      <c r="A32" s="162">
        <v>9</v>
      </c>
      <c r="B32" s="229" t="s">
        <v>228</v>
      </c>
      <c r="C32" s="247"/>
      <c r="D32" s="247"/>
      <c r="E32" s="247"/>
      <c r="F32" s="247"/>
      <c r="G32" s="247"/>
      <c r="H32" s="231"/>
      <c r="I32" s="17" t="s">
        <v>86</v>
      </c>
      <c r="J32" s="51">
        <v>1</v>
      </c>
      <c r="K32" s="234">
        <f>1785*0.2494</f>
        <v>445.17900000000003</v>
      </c>
      <c r="L32" s="235"/>
    </row>
    <row r="33" spans="1:12">
      <c r="A33" s="162">
        <v>10</v>
      </c>
      <c r="B33" s="260" t="s">
        <v>230</v>
      </c>
      <c r="C33" s="249"/>
      <c r="D33" s="249"/>
      <c r="E33" s="249"/>
      <c r="F33" s="249"/>
      <c r="G33" s="249"/>
      <c r="H33" s="249"/>
      <c r="I33" s="17" t="s">
        <v>229</v>
      </c>
      <c r="J33" s="286">
        <v>1</v>
      </c>
      <c r="K33" s="232">
        <f>7154.4*0.0226</f>
        <v>161.68943999999999</v>
      </c>
      <c r="L33" s="233"/>
    </row>
    <row r="34" spans="1:12">
      <c r="A34" s="162">
        <v>11</v>
      </c>
      <c r="B34" s="248" t="s">
        <v>231</v>
      </c>
      <c r="C34" s="249"/>
      <c r="D34" s="249"/>
      <c r="E34" s="249"/>
      <c r="F34" s="249"/>
      <c r="G34" s="249"/>
      <c r="H34" s="263"/>
      <c r="I34" s="17" t="s">
        <v>86</v>
      </c>
      <c r="J34" s="286">
        <v>6</v>
      </c>
      <c r="K34" s="232">
        <f>(2400+3000)*0.0226</f>
        <v>122.03999999999999</v>
      </c>
      <c r="L34" s="233"/>
    </row>
    <row r="35" spans="1:12">
      <c r="A35" s="162">
        <v>12</v>
      </c>
      <c r="B35" s="260" t="s">
        <v>232</v>
      </c>
      <c r="C35" s="261"/>
      <c r="D35" s="261"/>
      <c r="E35" s="261"/>
      <c r="F35" s="261"/>
      <c r="G35" s="261"/>
      <c r="H35" s="262"/>
      <c r="I35" s="17" t="s">
        <v>252</v>
      </c>
      <c r="J35" s="287" t="s">
        <v>252</v>
      </c>
      <c r="K35" s="232">
        <f>2000*0.0226</f>
        <v>45.199999999999996</v>
      </c>
      <c r="L35" s="233"/>
    </row>
    <row r="36" spans="1:12">
      <c r="A36" s="162">
        <v>13</v>
      </c>
      <c r="B36" s="260" t="s">
        <v>233</v>
      </c>
      <c r="C36" s="261"/>
      <c r="D36" s="261"/>
      <c r="E36" s="261"/>
      <c r="F36" s="261"/>
      <c r="G36" s="261"/>
      <c r="H36" s="262"/>
      <c r="I36" s="17" t="s">
        <v>234</v>
      </c>
      <c r="J36" s="286">
        <v>252</v>
      </c>
      <c r="K36" s="232">
        <v>1000</v>
      </c>
      <c r="L36" s="233"/>
    </row>
    <row r="37" spans="1:12">
      <c r="A37" s="162">
        <v>14</v>
      </c>
      <c r="B37" s="248" t="s">
        <v>236</v>
      </c>
      <c r="C37" s="249"/>
      <c r="D37" s="249"/>
      <c r="E37" s="249"/>
      <c r="F37" s="249"/>
      <c r="G37" s="249"/>
      <c r="H37" s="263"/>
      <c r="I37" s="17" t="s">
        <v>235</v>
      </c>
      <c r="J37" s="286">
        <v>47</v>
      </c>
      <c r="K37" s="232">
        <f>(8628+4000)*0.0226</f>
        <v>285.39279999999997</v>
      </c>
      <c r="L37" s="233"/>
    </row>
    <row r="38" spans="1:12">
      <c r="A38" s="162">
        <v>15</v>
      </c>
      <c r="B38" s="260" t="s">
        <v>237</v>
      </c>
      <c r="C38" s="261"/>
      <c r="D38" s="261"/>
      <c r="E38" s="261"/>
      <c r="F38" s="261"/>
      <c r="G38" s="261"/>
      <c r="H38" s="262"/>
      <c r="I38" s="17" t="s">
        <v>86</v>
      </c>
      <c r="J38" s="286">
        <v>1</v>
      </c>
      <c r="K38" s="232">
        <f>17760.7*0.0226</f>
        <v>401.39182</v>
      </c>
      <c r="L38" s="233"/>
    </row>
    <row r="39" spans="1:12">
      <c r="A39" s="162">
        <v>16</v>
      </c>
      <c r="B39" s="248" t="s">
        <v>238</v>
      </c>
      <c r="C39" s="249"/>
      <c r="D39" s="249"/>
      <c r="E39" s="249"/>
      <c r="F39" s="249"/>
      <c r="G39" s="249"/>
      <c r="H39" s="263"/>
      <c r="I39" s="51" t="s">
        <v>86</v>
      </c>
      <c r="J39" s="165">
        <v>2</v>
      </c>
      <c r="K39" s="264">
        <f>380*2*0.2494</f>
        <v>189.54400000000001</v>
      </c>
      <c r="L39" s="265"/>
    </row>
    <row r="40" spans="1:12">
      <c r="A40" s="162">
        <v>17</v>
      </c>
      <c r="B40" s="196" t="s">
        <v>239</v>
      </c>
      <c r="C40" s="197"/>
      <c r="D40" s="197"/>
      <c r="E40" s="197"/>
      <c r="F40" s="197"/>
      <c r="G40" s="197"/>
      <c r="H40" s="193"/>
      <c r="I40" s="51" t="s">
        <v>86</v>
      </c>
      <c r="J40" s="165">
        <v>2</v>
      </c>
      <c r="K40" s="264">
        <f>250*2*0.2494</f>
        <v>124.7</v>
      </c>
      <c r="L40" s="265"/>
    </row>
    <row r="41" spans="1:12">
      <c r="A41" s="162">
        <v>18</v>
      </c>
      <c r="B41" s="229" t="s">
        <v>240</v>
      </c>
      <c r="C41" s="230"/>
      <c r="D41" s="230"/>
      <c r="E41" s="230"/>
      <c r="F41" s="230"/>
      <c r="G41" s="230"/>
      <c r="H41" s="231"/>
      <c r="I41" s="17" t="s">
        <v>86</v>
      </c>
      <c r="J41" s="31">
        <v>3</v>
      </c>
      <c r="K41" s="234">
        <v>267</v>
      </c>
      <c r="L41" s="235"/>
    </row>
    <row r="42" spans="1:12">
      <c r="A42" s="162">
        <v>19</v>
      </c>
      <c r="B42" s="229" t="s">
        <v>241</v>
      </c>
      <c r="C42" s="230"/>
      <c r="D42" s="230"/>
      <c r="E42" s="230"/>
      <c r="F42" s="230"/>
      <c r="G42" s="230"/>
      <c r="H42" s="231"/>
      <c r="I42" s="17" t="s">
        <v>86</v>
      </c>
      <c r="J42" s="166">
        <v>1</v>
      </c>
      <c r="K42" s="232">
        <v>439.19</v>
      </c>
      <c r="L42" s="233"/>
    </row>
    <row r="43" spans="1:12">
      <c r="A43" s="162">
        <v>20</v>
      </c>
      <c r="B43" s="229" t="s">
        <v>242</v>
      </c>
      <c r="C43" s="230"/>
      <c r="D43" s="230"/>
      <c r="E43" s="230"/>
      <c r="F43" s="230"/>
      <c r="G43" s="230"/>
      <c r="H43" s="231"/>
      <c r="I43" s="31" t="s">
        <v>86</v>
      </c>
      <c r="J43" s="31">
        <v>1</v>
      </c>
      <c r="K43" s="234">
        <f>3628.4+4000</f>
        <v>7628.4</v>
      </c>
      <c r="L43" s="235"/>
    </row>
    <row r="44" spans="1:12">
      <c r="A44" s="162">
        <v>21</v>
      </c>
      <c r="B44" s="196" t="s">
        <v>245</v>
      </c>
      <c r="C44" s="197"/>
      <c r="D44" s="197"/>
      <c r="E44" s="197"/>
      <c r="F44" s="197"/>
      <c r="G44" s="197"/>
      <c r="H44" s="193"/>
      <c r="I44" s="178" t="s">
        <v>99</v>
      </c>
      <c r="J44" s="95">
        <v>12</v>
      </c>
      <c r="K44" s="198">
        <f>2000*12*0.2494</f>
        <v>5985.6</v>
      </c>
      <c r="L44" s="199"/>
    </row>
    <row r="45" spans="1:12">
      <c r="A45" s="17"/>
      <c r="B45" s="229" t="s">
        <v>202</v>
      </c>
      <c r="C45" s="230"/>
      <c r="D45" s="230"/>
      <c r="E45" s="230"/>
      <c r="F45" s="230"/>
      <c r="G45" s="230"/>
      <c r="H45" s="230"/>
      <c r="I45" s="17"/>
      <c r="J45" s="287"/>
      <c r="K45" s="266">
        <f>SUM(K24:L44)</f>
        <v>29568.799602999999</v>
      </c>
      <c r="L45" s="267"/>
    </row>
    <row r="46" spans="1:12">
      <c r="A46" s="17"/>
      <c r="B46" s="229" t="s">
        <v>253</v>
      </c>
      <c r="C46" s="230"/>
      <c r="D46" s="230"/>
      <c r="E46" s="230"/>
      <c r="F46" s="230"/>
      <c r="G46" s="230"/>
      <c r="H46" s="230"/>
      <c r="I46" s="17"/>
      <c r="J46" s="287"/>
      <c r="K46" s="234">
        <f>K45*0.14</f>
        <v>4139.6319444200008</v>
      </c>
      <c r="L46" s="235"/>
    </row>
    <row r="47" spans="1:12" ht="15.75" thickBot="1">
      <c r="A47" s="17"/>
      <c r="B47" t="s">
        <v>203</v>
      </c>
      <c r="I47" s="64"/>
      <c r="K47" s="268">
        <f>SUM(K45:L46)</f>
        <v>33708.431547419998</v>
      </c>
      <c r="L47" s="269"/>
    </row>
    <row r="48" spans="1:12" ht="16.5" thickBot="1">
      <c r="A48" s="16"/>
      <c r="B48" s="18" t="s">
        <v>204</v>
      </c>
      <c r="C48" s="19"/>
      <c r="D48" s="19"/>
      <c r="E48" s="19"/>
      <c r="F48" s="19"/>
      <c r="G48" s="19"/>
      <c r="H48" s="20"/>
      <c r="I48" s="16"/>
      <c r="J48" s="288"/>
      <c r="K48" s="270">
        <f>K47+K23</f>
        <v>39066.061547419995</v>
      </c>
      <c r="L48" s="271"/>
    </row>
    <row r="49" spans="1:12">
      <c r="A49" t="s">
        <v>23</v>
      </c>
    </row>
    <row r="50" spans="1:12">
      <c r="A50" t="s">
        <v>25</v>
      </c>
      <c r="D50" s="36">
        <f>I4</f>
        <v>2014</v>
      </c>
      <c r="E50" t="s">
        <v>26</v>
      </c>
      <c r="G50" s="22">
        <f>K48-G19</f>
        <v>-35090.998452580017</v>
      </c>
      <c r="H50" t="s">
        <v>27</v>
      </c>
    </row>
    <row r="51" spans="1:12" ht="15.75" thickBot="1">
      <c r="A51" t="s">
        <v>28</v>
      </c>
      <c r="B51" s="36">
        <f>I4+1</f>
        <v>2015</v>
      </c>
      <c r="C51" t="s">
        <v>31</v>
      </c>
    </row>
    <row r="52" spans="1:12">
      <c r="A52" s="40" t="s">
        <v>2</v>
      </c>
      <c r="B52" s="272" t="s">
        <v>40</v>
      </c>
      <c r="C52" s="273"/>
      <c r="D52" s="273"/>
      <c r="E52" s="273"/>
      <c r="F52" s="272" t="s">
        <v>41</v>
      </c>
      <c r="G52" s="273"/>
      <c r="H52" s="274"/>
      <c r="I52" s="272" t="s">
        <v>42</v>
      </c>
      <c r="J52" s="273"/>
      <c r="K52" s="273"/>
      <c r="L52" s="274"/>
    </row>
    <row r="53" spans="1:12" ht="15.75" thickBot="1">
      <c r="A53" s="41"/>
      <c r="B53" s="276"/>
      <c r="C53" s="277"/>
      <c r="D53" s="277"/>
      <c r="E53" s="277"/>
      <c r="F53" s="276"/>
      <c r="G53" s="277"/>
      <c r="H53" s="278"/>
      <c r="I53" s="276" t="s">
        <v>87</v>
      </c>
      <c r="J53" s="277"/>
      <c r="K53" s="277"/>
      <c r="L53" s="278"/>
    </row>
    <row r="54" spans="1:12">
      <c r="A54" s="107" t="s">
        <v>34</v>
      </c>
      <c r="B54" s="216" t="s">
        <v>43</v>
      </c>
      <c r="C54" s="216"/>
      <c r="D54" s="216"/>
      <c r="E54" s="217"/>
      <c r="F54" s="210" t="s">
        <v>180</v>
      </c>
      <c r="G54" s="211"/>
      <c r="H54" s="212"/>
      <c r="I54" s="210" t="s">
        <v>217</v>
      </c>
      <c r="J54" s="211"/>
      <c r="K54" s="211"/>
      <c r="L54" s="212"/>
    </row>
    <row r="55" spans="1:12">
      <c r="A55" s="95" t="s">
        <v>35</v>
      </c>
      <c r="B55" s="197" t="s">
        <v>44</v>
      </c>
      <c r="C55" s="197"/>
      <c r="D55" s="197"/>
      <c r="E55" s="193"/>
      <c r="F55" s="202" t="s">
        <v>181</v>
      </c>
      <c r="G55" s="203"/>
      <c r="H55" s="204"/>
      <c r="I55" s="202" t="s">
        <v>49</v>
      </c>
      <c r="J55" s="203"/>
      <c r="K55" s="203"/>
      <c r="L55" s="204"/>
    </row>
    <row r="56" spans="1:12">
      <c r="A56" s="95" t="s">
        <v>36</v>
      </c>
      <c r="B56" s="197" t="s">
        <v>45</v>
      </c>
      <c r="C56" s="197"/>
      <c r="D56" s="197"/>
      <c r="E56" s="193"/>
      <c r="F56" s="202" t="s">
        <v>164</v>
      </c>
      <c r="G56" s="203"/>
      <c r="H56" s="204"/>
      <c r="I56" s="202" t="s">
        <v>165</v>
      </c>
      <c r="J56" s="203"/>
      <c r="K56" s="203"/>
      <c r="L56" s="204"/>
    </row>
    <row r="57" spans="1:12">
      <c r="A57" s="95" t="s">
        <v>37</v>
      </c>
      <c r="B57" s="197" t="s">
        <v>46</v>
      </c>
      <c r="C57" s="197"/>
      <c r="D57" s="197"/>
      <c r="E57" s="193"/>
      <c r="F57" s="202" t="s">
        <v>166</v>
      </c>
      <c r="G57" s="203"/>
      <c r="H57" s="204"/>
      <c r="I57" s="202" t="s">
        <v>167</v>
      </c>
      <c r="J57" s="203"/>
      <c r="K57" s="203"/>
      <c r="L57" s="204"/>
    </row>
    <row r="58" spans="1:12">
      <c r="A58" s="95" t="s">
        <v>38</v>
      </c>
      <c r="B58" s="197" t="s">
        <v>47</v>
      </c>
      <c r="C58" s="197"/>
      <c r="D58" s="197"/>
      <c r="E58" s="193"/>
      <c r="F58" s="202" t="s">
        <v>168</v>
      </c>
      <c r="G58" s="203"/>
      <c r="H58" s="204"/>
      <c r="I58" s="202" t="s">
        <v>169</v>
      </c>
      <c r="J58" s="203"/>
      <c r="K58" s="203"/>
      <c r="L58" s="204"/>
    </row>
    <row r="59" spans="1:12" ht="15.75" thickBot="1">
      <c r="A59" s="108" t="s">
        <v>39</v>
      </c>
      <c r="B59" s="225" t="s">
        <v>48</v>
      </c>
      <c r="C59" s="225"/>
      <c r="D59" s="225"/>
      <c r="E59" s="226"/>
      <c r="F59" s="188" t="s">
        <v>170</v>
      </c>
      <c r="G59" s="189"/>
      <c r="H59" s="190"/>
      <c r="I59" s="188" t="s">
        <v>171</v>
      </c>
      <c r="J59" s="189"/>
      <c r="K59" s="189"/>
      <c r="L59" s="190"/>
    </row>
    <row r="60" spans="1:12">
      <c r="A60" s="69"/>
      <c r="B60" s="69"/>
      <c r="C60" s="69"/>
      <c r="D60" s="69"/>
      <c r="E60" s="69"/>
      <c r="F60" s="69"/>
      <c r="G60" s="69"/>
      <c r="H60" s="69"/>
      <c r="I60" s="69"/>
      <c r="J60" s="69"/>
      <c r="K60" s="69"/>
      <c r="L60" s="69"/>
    </row>
    <row r="61" spans="1:12">
      <c r="A61" s="109" t="s">
        <v>52</v>
      </c>
      <c r="B61" s="179">
        <f>B51</f>
        <v>2015</v>
      </c>
      <c r="C61" s="69" t="s">
        <v>53</v>
      </c>
      <c r="D61" s="69"/>
      <c r="E61" s="69"/>
      <c r="F61" s="69"/>
      <c r="G61" s="69"/>
      <c r="H61" s="69"/>
      <c r="I61" s="69"/>
      <c r="J61" s="69"/>
      <c r="K61" s="69"/>
      <c r="L61" s="69"/>
    </row>
    <row r="62" spans="1:12">
      <c r="A62" s="180" t="s">
        <v>216</v>
      </c>
      <c r="B62" s="69"/>
      <c r="C62" s="69"/>
      <c r="D62" s="69"/>
      <c r="E62" s="69"/>
      <c r="F62" s="69"/>
      <c r="G62" s="69"/>
      <c r="H62" s="69"/>
      <c r="I62" s="69"/>
      <c r="J62" s="69"/>
      <c r="K62" s="69"/>
      <c r="L62" s="69"/>
    </row>
    <row r="63" spans="1:12">
      <c r="A63" s="180" t="s">
        <v>50</v>
      </c>
      <c r="B63" s="69"/>
      <c r="C63" s="69"/>
      <c r="D63" s="69"/>
      <c r="E63" s="69"/>
      <c r="F63" s="80">
        <f>H80</f>
        <v>1.6468972533894803</v>
      </c>
      <c r="G63" s="69" t="s">
        <v>51</v>
      </c>
      <c r="H63" s="69"/>
      <c r="I63" s="69"/>
      <c r="J63" s="69"/>
      <c r="K63" s="69"/>
      <c r="L63" s="69"/>
    </row>
    <row r="64" spans="1:12">
      <c r="A64" s="180" t="s">
        <v>100</v>
      </c>
      <c r="B64" s="69"/>
      <c r="C64" s="69"/>
      <c r="D64" s="69"/>
      <c r="E64" s="69"/>
      <c r="F64" s="69"/>
      <c r="G64" s="69"/>
      <c r="H64" s="69"/>
      <c r="I64" s="69"/>
      <c r="J64" s="69"/>
      <c r="K64" s="69"/>
      <c r="L64" s="69"/>
    </row>
    <row r="65" spans="1:12">
      <c r="A65" s="180" t="s">
        <v>154</v>
      </c>
      <c r="B65" s="69"/>
      <c r="C65" s="69"/>
      <c r="D65" s="69"/>
      <c r="E65" s="69"/>
      <c r="F65" s="69"/>
      <c r="G65" s="69"/>
      <c r="H65" s="69"/>
      <c r="I65" s="69"/>
      <c r="J65" s="69"/>
      <c r="K65" s="69"/>
      <c r="L65" s="69"/>
    </row>
    <row r="66" spans="1:12">
      <c r="A66" s="180" t="s">
        <v>101</v>
      </c>
      <c r="B66" s="69"/>
      <c r="C66" s="69"/>
      <c r="D66" s="69"/>
      <c r="E66" s="69"/>
      <c r="F66" s="69"/>
      <c r="G66" s="69"/>
      <c r="H66" s="69"/>
      <c r="I66" s="69"/>
      <c r="J66" s="69"/>
      <c r="K66" s="69"/>
      <c r="L66" s="69"/>
    </row>
    <row r="67" spans="1:12">
      <c r="A67" s="180" t="s">
        <v>155</v>
      </c>
      <c r="B67" s="69"/>
      <c r="C67" s="69"/>
      <c r="D67" s="69"/>
      <c r="E67" s="69"/>
      <c r="F67" s="69"/>
      <c r="G67" s="69"/>
      <c r="H67" s="69"/>
      <c r="I67" s="69"/>
      <c r="J67" s="69"/>
      <c r="K67" s="69"/>
      <c r="L67" s="69"/>
    </row>
    <row r="68" spans="1:12">
      <c r="A68" s="180" t="s">
        <v>156</v>
      </c>
      <c r="B68" s="69"/>
      <c r="C68" s="69"/>
      <c r="D68" s="69"/>
      <c r="E68" s="69"/>
      <c r="F68" s="69"/>
      <c r="G68" s="69"/>
      <c r="H68" s="69"/>
      <c r="I68" s="69"/>
      <c r="J68" s="69"/>
      <c r="K68" s="69"/>
      <c r="L68" s="69"/>
    </row>
    <row r="69" spans="1:12">
      <c r="A69" s="38"/>
      <c r="B69" s="33"/>
      <c r="C69" s="33"/>
      <c r="D69" s="33"/>
      <c r="E69" s="33"/>
      <c r="F69" s="33"/>
      <c r="G69" s="33"/>
      <c r="H69" s="33"/>
      <c r="I69" s="33"/>
      <c r="J69" s="289"/>
      <c r="K69" s="33"/>
    </row>
    <row r="70" spans="1:12">
      <c r="A70" s="26" t="s">
        <v>54</v>
      </c>
      <c r="B70" s="36">
        <f>I4+1</f>
        <v>2015</v>
      </c>
      <c r="C70" t="s">
        <v>55</v>
      </c>
    </row>
    <row r="71" spans="1:12">
      <c r="A71" s="26" t="s">
        <v>56</v>
      </c>
    </row>
    <row r="72" spans="1:12">
      <c r="A72" s="26" t="s">
        <v>57</v>
      </c>
      <c r="J72" s="160">
        <v>15000</v>
      </c>
      <c r="K72" t="s">
        <v>10</v>
      </c>
    </row>
    <row r="73" spans="1:12">
      <c r="A73" s="275" t="s">
        <v>81</v>
      </c>
      <c r="B73" s="275"/>
      <c r="C73" s="275"/>
      <c r="D73" s="275"/>
      <c r="E73" s="275"/>
      <c r="J73" s="160">
        <v>10000</v>
      </c>
      <c r="K73" t="s">
        <v>10</v>
      </c>
    </row>
    <row r="74" spans="1:12">
      <c r="A74" s="26" t="s">
        <v>58</v>
      </c>
      <c r="J74" s="160">
        <v>1500</v>
      </c>
      <c r="K74" t="s">
        <v>10</v>
      </c>
    </row>
    <row r="75" spans="1:12">
      <c r="A75" s="26" t="s">
        <v>79</v>
      </c>
      <c r="J75" s="160">
        <v>15000</v>
      </c>
      <c r="K75" t="s">
        <v>10</v>
      </c>
    </row>
    <row r="76" spans="1:12">
      <c r="A76" s="26" t="s">
        <v>59</v>
      </c>
      <c r="J76" s="160">
        <v>8000</v>
      </c>
      <c r="K76" t="s">
        <v>10</v>
      </c>
    </row>
    <row r="77" spans="1:12">
      <c r="A77" s="26" t="s">
        <v>60</v>
      </c>
      <c r="J77" s="160">
        <v>8000</v>
      </c>
      <c r="K77" t="s">
        <v>10</v>
      </c>
    </row>
    <row r="78" spans="1:12">
      <c r="A78" s="27" t="s">
        <v>61</v>
      </c>
      <c r="J78" s="290">
        <f>SUM(J72:J77)</f>
        <v>57500</v>
      </c>
      <c r="K78" s="28" t="s">
        <v>62</v>
      </c>
    </row>
    <row r="79" spans="1:12">
      <c r="A79" s="26" t="s">
        <v>63</v>
      </c>
      <c r="H79" s="36">
        <f>I4</f>
        <v>2014</v>
      </c>
      <c r="I79" t="s">
        <v>71</v>
      </c>
      <c r="K79" s="6">
        <f>G50</f>
        <v>-35090.998452580017</v>
      </c>
    </row>
    <row r="80" spans="1:12">
      <c r="A80" s="26" t="s">
        <v>64</v>
      </c>
      <c r="C80" s="22">
        <f>J78+K79</f>
        <v>22409.001547419983</v>
      </c>
      <c r="D80" s="36" t="s">
        <v>65</v>
      </c>
      <c r="E80" s="29">
        <f>I4+1</f>
        <v>2015</v>
      </c>
      <c r="F80" t="s">
        <v>67</v>
      </c>
      <c r="H80" s="7">
        <f>C80/(E6*12)</f>
        <v>1.6468972533894803</v>
      </c>
      <c r="I80" t="s">
        <v>68</v>
      </c>
    </row>
    <row r="82" spans="1:12">
      <c r="B82" t="s">
        <v>69</v>
      </c>
    </row>
    <row r="83" spans="1:12">
      <c r="B83" t="s">
        <v>41</v>
      </c>
      <c r="I83" t="s">
        <v>70</v>
      </c>
    </row>
    <row r="85" spans="1:12">
      <c r="A85" s="236"/>
      <c r="B85" s="236"/>
      <c r="C85" s="236"/>
      <c r="D85" s="236"/>
      <c r="E85" s="236"/>
      <c r="F85" s="236"/>
      <c r="G85" s="236"/>
      <c r="H85" s="236"/>
      <c r="I85" s="236"/>
      <c r="J85" s="236"/>
      <c r="K85" s="236"/>
    </row>
    <row r="93" spans="1:12">
      <c r="L93" s="32" t="s">
        <v>80</v>
      </c>
    </row>
  </sheetData>
  <mergeCells count="86">
    <mergeCell ref="J1:K1"/>
    <mergeCell ref="B38:H38"/>
    <mergeCell ref="K38:L38"/>
    <mergeCell ref="B57:E57"/>
    <mergeCell ref="F57:H57"/>
    <mergeCell ref="I57:L57"/>
    <mergeCell ref="I56:L56"/>
    <mergeCell ref="B53:E53"/>
    <mergeCell ref="F53:H53"/>
    <mergeCell ref="I53:L53"/>
    <mergeCell ref="B54:E54"/>
    <mergeCell ref="F54:H54"/>
    <mergeCell ref="I54:L54"/>
    <mergeCell ref="B55:E55"/>
    <mergeCell ref="F55:H55"/>
    <mergeCell ref="I55:L55"/>
    <mergeCell ref="B56:E56"/>
    <mergeCell ref="B58:E58"/>
    <mergeCell ref="F58:H58"/>
    <mergeCell ref="I58:L58"/>
    <mergeCell ref="A85:K85"/>
    <mergeCell ref="B59:E59"/>
    <mergeCell ref="F59:H59"/>
    <mergeCell ref="I59:L59"/>
    <mergeCell ref="A73:E73"/>
    <mergeCell ref="F56:H56"/>
    <mergeCell ref="K47:L47"/>
    <mergeCell ref="K48:L48"/>
    <mergeCell ref="B52:E52"/>
    <mergeCell ref="F52:H52"/>
    <mergeCell ref="I52:L52"/>
    <mergeCell ref="B44:H44"/>
    <mergeCell ref="K44:L44"/>
    <mergeCell ref="B45:H45"/>
    <mergeCell ref="K45:L45"/>
    <mergeCell ref="B46:H46"/>
    <mergeCell ref="K46:L46"/>
    <mergeCell ref="B33:H33"/>
    <mergeCell ref="K33:L33"/>
    <mergeCell ref="B35:H35"/>
    <mergeCell ref="K35:L35"/>
    <mergeCell ref="B41:H41"/>
    <mergeCell ref="K41:L41"/>
    <mergeCell ref="B36:H36"/>
    <mergeCell ref="K36:L36"/>
    <mergeCell ref="B39:H39"/>
    <mergeCell ref="K39:L39"/>
    <mergeCell ref="B40:H40"/>
    <mergeCell ref="K40:L40"/>
    <mergeCell ref="B34:H34"/>
    <mergeCell ref="K34:L34"/>
    <mergeCell ref="B37:H37"/>
    <mergeCell ref="K37:L37"/>
    <mergeCell ref="B30:H30"/>
    <mergeCell ref="K30:L30"/>
    <mergeCell ref="B31:H31"/>
    <mergeCell ref="K31:L31"/>
    <mergeCell ref="B32:H32"/>
    <mergeCell ref="K32:L32"/>
    <mergeCell ref="K26:L26"/>
    <mergeCell ref="B28:H28"/>
    <mergeCell ref="K28:L28"/>
    <mergeCell ref="B29:H29"/>
    <mergeCell ref="K29:L29"/>
    <mergeCell ref="A2:L2"/>
    <mergeCell ref="A3:L3"/>
    <mergeCell ref="A7:B7"/>
    <mergeCell ref="A20:B20"/>
    <mergeCell ref="B21:H21"/>
    <mergeCell ref="K21:L21"/>
    <mergeCell ref="E4:H4"/>
    <mergeCell ref="B42:H42"/>
    <mergeCell ref="B43:H43"/>
    <mergeCell ref="K42:L42"/>
    <mergeCell ref="K43:L43"/>
    <mergeCell ref="B22:H22"/>
    <mergeCell ref="K22:L22"/>
    <mergeCell ref="B23:H23"/>
    <mergeCell ref="K23:L23"/>
    <mergeCell ref="B24:H24"/>
    <mergeCell ref="K24:L24"/>
    <mergeCell ref="B27:H27"/>
    <mergeCell ref="K27:L27"/>
    <mergeCell ref="B25:H25"/>
    <mergeCell ref="K25:L25"/>
    <mergeCell ref="B26:H26"/>
  </mergeCells>
  <pageMargins left="0.16" right="0.11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AR92"/>
  <sheetViews>
    <sheetView zoomScale="80" zoomScaleNormal="80" workbookViewId="0">
      <pane xSplit="12" ySplit="1" topLeftCell="M20" activePane="bottomRight" state="frozen"/>
      <selection pane="topRight" activeCell="M1" sqref="M1"/>
      <selection pane="bottomLeft" activeCell="A2" sqref="A2"/>
      <selection pane="bottomRight" activeCell="G49" sqref="G49"/>
    </sheetView>
  </sheetViews>
  <sheetFormatPr defaultRowHeight="15"/>
  <cols>
    <col min="1" max="1" width="5.7109375" customWidth="1"/>
    <col min="2" max="2" width="9.85546875" customWidth="1"/>
    <col min="3" max="3" width="10.7109375" customWidth="1"/>
    <col min="4" max="4" width="6.28515625" customWidth="1"/>
    <col min="5" max="5" width="9.42578125" customWidth="1"/>
    <col min="6" max="6" width="9.7109375" customWidth="1"/>
    <col min="7" max="7" width="11.5703125" customWidth="1"/>
    <col min="8" max="8" width="8.28515625" customWidth="1"/>
    <col min="9" max="9" width="9.42578125" customWidth="1"/>
    <col min="10" max="10" width="11" customWidth="1"/>
    <col min="11" max="11" width="8.7109375" customWidth="1"/>
    <col min="12" max="12" width="3.85546875" customWidth="1"/>
  </cols>
  <sheetData>
    <row r="1" spans="1:28" ht="18.75">
      <c r="A1" s="252" t="s">
        <v>0</v>
      </c>
      <c r="B1" s="252"/>
      <c r="C1" s="252"/>
      <c r="D1" s="252"/>
      <c r="E1" s="252"/>
      <c r="F1" s="252"/>
      <c r="G1" s="252"/>
      <c r="H1" s="252"/>
      <c r="I1" s="252"/>
      <c r="J1" s="252"/>
      <c r="K1" s="252"/>
      <c r="L1" s="252"/>
      <c r="R1" s="116"/>
      <c r="S1" s="116"/>
    </row>
    <row r="2" spans="1:28" ht="18.75">
      <c r="A2" s="252" t="s">
        <v>1</v>
      </c>
      <c r="B2" s="252"/>
      <c r="C2" s="252"/>
      <c r="D2" s="252"/>
      <c r="E2" s="252"/>
      <c r="F2" s="252"/>
      <c r="G2" s="252"/>
      <c r="H2" s="252"/>
      <c r="I2" s="252"/>
      <c r="J2" s="252"/>
      <c r="K2" s="252"/>
      <c r="L2" s="252"/>
      <c r="R2">
        <v>70</v>
      </c>
      <c r="S2">
        <v>1136.5999999999999</v>
      </c>
      <c r="T2" s="23">
        <f>S2*100/S6</f>
        <v>25.062844542447625</v>
      </c>
      <c r="U2" s="23"/>
      <c r="V2">
        <v>82</v>
      </c>
      <c r="W2">
        <v>1139.2</v>
      </c>
      <c r="X2" s="23">
        <f>W2*100/W6</f>
        <v>24.995063299471227</v>
      </c>
      <c r="Z2">
        <v>83</v>
      </c>
      <c r="AA2">
        <v>1138.9000000000001</v>
      </c>
      <c r="AB2" s="23">
        <f>AA2*100/AA6</f>
        <v>24.994513453013212</v>
      </c>
    </row>
    <row r="3" spans="1:28" ht="18.75">
      <c r="A3" s="1"/>
      <c r="B3" s="2"/>
      <c r="C3" s="1"/>
      <c r="D3" s="4" t="s">
        <v>2</v>
      </c>
      <c r="E3" s="174">
        <v>101</v>
      </c>
      <c r="F3" s="21" t="s">
        <v>85</v>
      </c>
      <c r="G3" s="21"/>
      <c r="H3" s="174"/>
      <c r="I3" s="174">
        <v>2015</v>
      </c>
      <c r="J3" s="21" t="s">
        <v>24</v>
      </c>
      <c r="R3">
        <v>71</v>
      </c>
      <c r="S3">
        <v>1132.9000000000001</v>
      </c>
      <c r="T3" s="23">
        <f>S3*100/S6</f>
        <v>24.981256890848957</v>
      </c>
      <c r="U3" s="23"/>
      <c r="V3">
        <v>90</v>
      </c>
      <c r="W3">
        <v>1139.3</v>
      </c>
      <c r="X3" s="23">
        <f>W3*100/W6</f>
        <v>24.997257388595127</v>
      </c>
      <c r="Z3">
        <v>91</v>
      </c>
      <c r="AA3">
        <v>1138.4000000000001</v>
      </c>
      <c r="AB3" s="23">
        <f>AA3*100/AA6</f>
        <v>24.983540359039637</v>
      </c>
    </row>
    <row r="4" spans="1:28">
      <c r="R4">
        <v>76</v>
      </c>
      <c r="S4">
        <v>1134.5</v>
      </c>
      <c r="T4" s="23">
        <f>S4*100/S6</f>
        <v>25.016538037486217</v>
      </c>
      <c r="U4" s="23"/>
      <c r="V4">
        <v>98</v>
      </c>
      <c r="W4">
        <v>1140.2</v>
      </c>
      <c r="X4" s="23">
        <f>W4*100/W6</f>
        <v>25.017004190710228</v>
      </c>
      <c r="Z4">
        <v>99</v>
      </c>
      <c r="AA4">
        <v>1139.5999999999999</v>
      </c>
      <c r="AB4" s="23">
        <f>AA4*100/AA6</f>
        <v>25.009875784576213</v>
      </c>
    </row>
    <row r="5" spans="1:28" ht="15.75">
      <c r="A5" s="3" t="s">
        <v>29</v>
      </c>
      <c r="B5" s="170">
        <f>I3</f>
        <v>2015</v>
      </c>
      <c r="C5" t="s">
        <v>30</v>
      </c>
      <c r="D5" s="62" t="s">
        <v>172</v>
      </c>
      <c r="E5" s="115">
        <v>1133.9000000000001</v>
      </c>
      <c r="F5" t="s">
        <v>66</v>
      </c>
      <c r="R5">
        <v>77</v>
      </c>
      <c r="S5">
        <v>1131</v>
      </c>
      <c r="T5" s="23">
        <f>S5*100/S6</f>
        <v>24.9393605292172</v>
      </c>
      <c r="U5" s="23"/>
      <c r="V5">
        <v>105</v>
      </c>
      <c r="W5">
        <v>1139</v>
      </c>
      <c r="X5" s="23">
        <f>W5*100/W6</f>
        <v>24.990675121223425</v>
      </c>
      <c r="Z5">
        <v>106</v>
      </c>
      <c r="AA5">
        <v>1139.7</v>
      </c>
      <c r="AB5" s="23">
        <f>AA5*100/AA6</f>
        <v>25.012070403370931</v>
      </c>
    </row>
    <row r="6" spans="1:28" ht="15.75">
      <c r="A6" s="253"/>
      <c r="B6" s="253"/>
      <c r="C6" s="5" t="s">
        <v>3</v>
      </c>
      <c r="G6" s="8">
        <f>A6-J7</f>
        <v>0</v>
      </c>
      <c r="H6" s="170" t="s">
        <v>84</v>
      </c>
      <c r="I6" s="7" t="e">
        <f>(G6/A6)*100</f>
        <v>#DIV/0!</v>
      </c>
      <c r="J6" t="s">
        <v>4</v>
      </c>
      <c r="S6">
        <f>SUM(S2:S5)</f>
        <v>4535</v>
      </c>
      <c r="T6" s="23"/>
      <c r="U6" s="23"/>
      <c r="W6">
        <f>SUM(W2:W5)</f>
        <v>4557.7</v>
      </c>
      <c r="X6" s="23"/>
      <c r="AA6">
        <f>SUM(AA2:AA5)</f>
        <v>4556.6000000000004</v>
      </c>
      <c r="AB6" s="23"/>
    </row>
    <row r="7" spans="1:28" ht="15.75">
      <c r="A7" t="s">
        <v>83</v>
      </c>
      <c r="J7" s="8"/>
      <c r="K7" t="s">
        <v>5</v>
      </c>
      <c r="X7" s="23"/>
      <c r="AB7" s="23"/>
    </row>
    <row r="8" spans="1:28">
      <c r="A8" t="s">
        <v>82</v>
      </c>
      <c r="R8">
        <v>72</v>
      </c>
      <c r="S8">
        <v>1135.5999999999999</v>
      </c>
      <c r="T8" s="23">
        <f>S8*100/S12</f>
        <v>25.028100412139374</v>
      </c>
      <c r="U8" s="23"/>
      <c r="V8">
        <v>84</v>
      </c>
      <c r="W8">
        <v>1139</v>
      </c>
      <c r="X8" s="23">
        <f>W8*100/W12</f>
        <v>25.004939518342077</v>
      </c>
      <c r="Z8">
        <v>85</v>
      </c>
      <c r="AA8">
        <v>1142.4000000000001</v>
      </c>
      <c r="AB8" s="23">
        <f>AA8*100/AA12</f>
        <v>25.129231649105829</v>
      </c>
    </row>
    <row r="9" spans="1:28">
      <c r="A9" t="s">
        <v>73</v>
      </c>
      <c r="B9" s="23"/>
      <c r="C9" t="s">
        <v>10</v>
      </c>
      <c r="E9" s="30" t="s">
        <v>75</v>
      </c>
      <c r="F9" s="23"/>
      <c r="G9" t="s">
        <v>10</v>
      </c>
      <c r="I9" s="30" t="s">
        <v>75</v>
      </c>
      <c r="J9" s="23"/>
      <c r="K9" t="s">
        <v>10</v>
      </c>
      <c r="N9" s="236" t="s">
        <v>219</v>
      </c>
      <c r="O9" s="236"/>
      <c r="P9" s="236"/>
      <c r="R9">
        <v>73</v>
      </c>
      <c r="S9">
        <v>1135.7</v>
      </c>
      <c r="T9" s="23">
        <f>S9*100/S12</f>
        <v>25.030304366032663</v>
      </c>
      <c r="U9" s="23"/>
      <c r="V9">
        <v>92</v>
      </c>
      <c r="W9">
        <v>1138.9000000000001</v>
      </c>
      <c r="X9" s="23">
        <f>W9*100/W12</f>
        <v>25.002744176856712</v>
      </c>
      <c r="Z9">
        <v>93</v>
      </c>
      <c r="AA9">
        <v>1135.5</v>
      </c>
      <c r="AB9" s="23">
        <f>AA9*100/AA12</f>
        <v>24.977453201645364</v>
      </c>
    </row>
    <row r="10" spans="1:28">
      <c r="A10" t="s">
        <v>74</v>
      </c>
      <c r="B10" s="23"/>
      <c r="C10" t="s">
        <v>10</v>
      </c>
      <c r="E10" s="30" t="s">
        <v>77</v>
      </c>
      <c r="F10" s="23"/>
      <c r="G10" t="s">
        <v>10</v>
      </c>
      <c r="I10" s="30" t="s">
        <v>77</v>
      </c>
      <c r="J10" s="23"/>
      <c r="K10" t="s">
        <v>10</v>
      </c>
      <c r="N10">
        <v>117</v>
      </c>
      <c r="O10">
        <v>581.1</v>
      </c>
      <c r="P10" s="116">
        <f>O10*100/O19</f>
        <v>6.0011153337739582</v>
      </c>
      <c r="R10">
        <v>78</v>
      </c>
      <c r="S10">
        <v>1129</v>
      </c>
      <c r="T10" s="23">
        <f>S10*100/S12</f>
        <v>24.882639455182595</v>
      </c>
      <c r="U10" s="23"/>
      <c r="V10">
        <v>100</v>
      </c>
      <c r="W10">
        <v>1138.4000000000001</v>
      </c>
      <c r="X10" s="23">
        <f>W10*100/W12</f>
        <v>24.99176746942987</v>
      </c>
      <c r="Z10">
        <v>101</v>
      </c>
      <c r="AA10">
        <v>1133.9000000000001</v>
      </c>
      <c r="AB10" s="23">
        <f>AA10*100/AA12</f>
        <v>24.942258199335697</v>
      </c>
    </row>
    <row r="11" spans="1:28">
      <c r="A11" t="s">
        <v>78</v>
      </c>
      <c r="B11" s="23"/>
      <c r="C11" t="s">
        <v>10</v>
      </c>
      <c r="E11" s="173" t="s">
        <v>76</v>
      </c>
      <c r="F11" s="23"/>
      <c r="G11" t="s">
        <v>10</v>
      </c>
      <c r="I11" s="173" t="s">
        <v>76</v>
      </c>
      <c r="J11" s="23"/>
      <c r="K11" t="s">
        <v>10</v>
      </c>
      <c r="N11">
        <v>107</v>
      </c>
      <c r="O11">
        <v>1139.7</v>
      </c>
      <c r="P11" s="116">
        <f>O11*100/O19</f>
        <v>11.769869464639788</v>
      </c>
      <c r="R11">
        <v>79</v>
      </c>
      <c r="S11">
        <v>1137</v>
      </c>
      <c r="T11" s="23">
        <f>S11*100/S12</f>
        <v>25.058955766645362</v>
      </c>
      <c r="U11" s="23"/>
      <c r="V11">
        <v>107</v>
      </c>
      <c r="W11">
        <v>1138.8</v>
      </c>
      <c r="X11" s="23">
        <f>W11*100/W12</f>
        <v>25.00054883537134</v>
      </c>
      <c r="Z11">
        <v>108</v>
      </c>
      <c r="AA11">
        <v>1134.3</v>
      </c>
      <c r="AB11" s="23">
        <f>AA11*100/AA12</f>
        <v>24.951056949913109</v>
      </c>
    </row>
    <row r="12" spans="1:28">
      <c r="B12" s="23"/>
      <c r="E12" s="173"/>
      <c r="F12" s="23"/>
      <c r="I12" s="173"/>
      <c r="J12" s="23"/>
      <c r="N12">
        <v>100</v>
      </c>
      <c r="O12">
        <v>1138.4000000000001</v>
      </c>
      <c r="P12" s="116">
        <f>O12*100/O19</f>
        <v>11.756444150693985</v>
      </c>
      <c r="S12">
        <f>SUM(S8:S11)</f>
        <v>4537.3</v>
      </c>
      <c r="T12" s="23"/>
      <c r="U12" s="23"/>
      <c r="W12">
        <f>SUM(W8:W11)</f>
        <v>4555.1000000000004</v>
      </c>
      <c r="X12" s="23"/>
      <c r="AA12">
        <f>SUM(AA8:AA11)</f>
        <v>4546.1000000000004</v>
      </c>
      <c r="AB12" s="23"/>
    </row>
    <row r="13" spans="1:28" ht="15.75">
      <c r="A13" t="s">
        <v>32</v>
      </c>
      <c r="J13" s="23">
        <f>G14+G15+G16+G17</f>
        <v>0</v>
      </c>
      <c r="K13" s="25" t="s">
        <v>33</v>
      </c>
      <c r="N13">
        <v>92</v>
      </c>
      <c r="O13">
        <v>1138.9000000000001</v>
      </c>
      <c r="P13" s="116">
        <f>O13*100/O19</f>
        <v>11.761607732980833</v>
      </c>
      <c r="R13" s="116"/>
      <c r="S13" s="116"/>
      <c r="X13" s="23"/>
      <c r="AB13" s="23"/>
    </row>
    <row r="14" spans="1:28">
      <c r="A14" s="9" t="s">
        <v>6</v>
      </c>
      <c r="B14" t="s">
        <v>7</v>
      </c>
      <c r="G14" s="6">
        <f>(J7*43.5/100)</f>
        <v>0</v>
      </c>
      <c r="H14" t="s">
        <v>10</v>
      </c>
      <c r="N14">
        <v>84</v>
      </c>
      <c r="O14">
        <v>1139</v>
      </c>
      <c r="P14" s="116">
        <f>O14*100/O19</f>
        <v>11.762640449438202</v>
      </c>
      <c r="R14">
        <v>111</v>
      </c>
      <c r="S14">
        <v>581.29999999999995</v>
      </c>
      <c r="T14" s="23">
        <f>S14*100/S18</f>
        <v>18.287925501793239</v>
      </c>
      <c r="V14">
        <v>117</v>
      </c>
      <c r="W14">
        <v>581.1</v>
      </c>
      <c r="X14" s="23">
        <f>W14*100/W18</f>
        <v>17.130475797417606</v>
      </c>
      <c r="Z14">
        <v>124</v>
      </c>
      <c r="AA14">
        <v>935.1</v>
      </c>
      <c r="AB14" s="23">
        <f>AA14*100/AA17</f>
        <v>33.330957048654426</v>
      </c>
    </row>
    <row r="15" spans="1:28">
      <c r="A15" s="9" t="s">
        <v>6</v>
      </c>
      <c r="B15" t="s">
        <v>8</v>
      </c>
      <c r="G15" s="6">
        <f>(J7*36.6/100)</f>
        <v>0</v>
      </c>
      <c r="H15" t="s">
        <v>10</v>
      </c>
      <c r="N15">
        <v>108</v>
      </c>
      <c r="O15">
        <v>1134.3</v>
      </c>
      <c r="P15" s="116">
        <f>O15*100/O19</f>
        <v>11.714102775941836</v>
      </c>
      <c r="R15">
        <v>113</v>
      </c>
      <c r="S15">
        <v>952.5</v>
      </c>
      <c r="T15" s="23">
        <f>S15*100/S18</f>
        <v>29.966022777323349</v>
      </c>
      <c r="V15">
        <v>119</v>
      </c>
      <c r="W15">
        <v>945.5</v>
      </c>
      <c r="X15" s="23">
        <f>W15*100/W18</f>
        <v>27.872766935911798</v>
      </c>
      <c r="Z15">
        <v>123</v>
      </c>
      <c r="AA15">
        <v>935.5</v>
      </c>
      <c r="AB15" s="23">
        <f>AA15*100/AA17</f>
        <v>33.345214756727856</v>
      </c>
    </row>
    <row r="16" spans="1:28">
      <c r="A16" s="9" t="s">
        <v>6</v>
      </c>
      <c r="B16" t="s">
        <v>9</v>
      </c>
      <c r="G16" s="6">
        <f>(J7*12.5/100)</f>
        <v>0</v>
      </c>
      <c r="H16" t="s">
        <v>10</v>
      </c>
      <c r="K16" s="5"/>
      <c r="L16" s="13"/>
      <c r="N16">
        <v>101</v>
      </c>
      <c r="O16">
        <v>1133.9000000000001</v>
      </c>
      <c r="P16" s="116">
        <f>O16*100/O19</f>
        <v>11.70997191011236</v>
      </c>
      <c r="R16">
        <v>114</v>
      </c>
      <c r="S16">
        <v>699.3</v>
      </c>
      <c r="T16" s="23">
        <f>S16*100/S18</f>
        <v>22.000251683130937</v>
      </c>
      <c r="V16">
        <v>120</v>
      </c>
      <c r="W16">
        <v>931.8</v>
      </c>
      <c r="X16" s="23">
        <f>W16*100/W18</f>
        <v>27.468899239431639</v>
      </c>
      <c r="Z16">
        <v>122</v>
      </c>
      <c r="AA16">
        <v>934.9</v>
      </c>
      <c r="AB16" s="23">
        <f>AA16*100/AA17</f>
        <v>33.323828194617718</v>
      </c>
    </row>
    <row r="17" spans="1:44">
      <c r="A17" s="9" t="s">
        <v>6</v>
      </c>
      <c r="B17" t="s">
        <v>14</v>
      </c>
      <c r="G17" s="6">
        <f>(J7*7.4/100)</f>
        <v>0</v>
      </c>
      <c r="H17" t="s">
        <v>10</v>
      </c>
      <c r="N17">
        <v>93</v>
      </c>
      <c r="O17">
        <v>1135.5</v>
      </c>
      <c r="P17" s="116">
        <f>O17*100/O19</f>
        <v>11.72649537343027</v>
      </c>
      <c r="R17">
        <v>115</v>
      </c>
      <c r="S17">
        <v>945.5</v>
      </c>
      <c r="T17" s="23">
        <f>S17*100/S18</f>
        <v>29.745800037752471</v>
      </c>
      <c r="V17">
        <v>121</v>
      </c>
      <c r="W17">
        <v>933.8</v>
      </c>
      <c r="X17" s="23">
        <f>W17*100/W18</f>
        <v>27.52785802723896</v>
      </c>
      <c r="AA17">
        <f>SUM(AA14:AA16)</f>
        <v>2805.5</v>
      </c>
      <c r="AB17" s="23"/>
    </row>
    <row r="18" spans="1:44" ht="18.75" customHeight="1">
      <c r="G18" s="24"/>
      <c r="N18">
        <v>85</v>
      </c>
      <c r="O18">
        <v>1142.4000000000001</v>
      </c>
      <c r="P18" s="116">
        <f>O18*100/O19</f>
        <v>11.797752808988765</v>
      </c>
      <c r="S18">
        <f>SUM(S14:S17)</f>
        <v>3178.6</v>
      </c>
      <c r="W18">
        <f>SUM(W14:W17)</f>
        <v>3392.2</v>
      </c>
      <c r="X18" s="23"/>
    </row>
    <row r="19" spans="1:44" ht="15.75" thickBot="1">
      <c r="A19" s="10" t="s">
        <v>11</v>
      </c>
      <c r="G19" s="6">
        <f>E5*5.45*12/1.03</f>
        <v>71997.145631067964</v>
      </c>
      <c r="H19" t="s">
        <v>12</v>
      </c>
      <c r="N19" s="23"/>
      <c r="O19" s="23">
        <f>SUM(O10:O18)</f>
        <v>9683.2000000000007</v>
      </c>
      <c r="P19" s="116"/>
      <c r="X19" s="116"/>
      <c r="Y19" s="116"/>
      <c r="Z19" s="116"/>
    </row>
    <row r="20" spans="1:44" ht="15.75" thickBot="1">
      <c r="A20" s="254" t="e">
        <f>G19*I6/100</f>
        <v>#DIV/0!</v>
      </c>
      <c r="B20" s="254"/>
      <c r="C20" t="s">
        <v>72</v>
      </c>
      <c r="U20" s="120" t="s">
        <v>193</v>
      </c>
      <c r="V20" s="121" t="s">
        <v>189</v>
      </c>
      <c r="W20" s="122" t="s">
        <v>190</v>
      </c>
      <c r="X20" s="123" t="s">
        <v>191</v>
      </c>
      <c r="Y20" s="124" t="s">
        <v>192</v>
      </c>
      <c r="Z20" s="116"/>
      <c r="AA20" s="120" t="s">
        <v>193</v>
      </c>
      <c r="AB20" s="121" t="s">
        <v>189</v>
      </c>
      <c r="AC20" s="122" t="s">
        <v>190</v>
      </c>
      <c r="AD20" s="123" t="s">
        <v>191</v>
      </c>
      <c r="AE20" s="124" t="s">
        <v>192</v>
      </c>
    </row>
    <row r="21" spans="1:44">
      <c r="A21" s="11" t="s">
        <v>2</v>
      </c>
      <c r="B21" s="255" t="s">
        <v>20</v>
      </c>
      <c r="C21" s="256"/>
      <c r="D21" s="256"/>
      <c r="E21" s="256"/>
      <c r="F21" s="256"/>
      <c r="G21" s="256"/>
      <c r="H21" s="257"/>
      <c r="I21" s="11" t="s">
        <v>18</v>
      </c>
      <c r="J21" s="14" t="s">
        <v>17</v>
      </c>
      <c r="K21" s="255" t="s">
        <v>15</v>
      </c>
      <c r="L21" s="257"/>
      <c r="T21">
        <v>1</v>
      </c>
      <c r="U21" s="125">
        <v>100</v>
      </c>
      <c r="V21" s="126">
        <v>1138.4000000000001</v>
      </c>
      <c r="W21" s="127">
        <v>1138.4000000000001</v>
      </c>
      <c r="X21" s="128">
        <f>W21*100/W68</f>
        <v>4.3689992942208624</v>
      </c>
      <c r="Y21" s="129">
        <f>V21*100/V68</f>
        <v>2.2443737371208257</v>
      </c>
      <c r="Z21" s="116"/>
      <c r="AA21" s="125">
        <v>100</v>
      </c>
      <c r="AB21" s="126">
        <v>1138.4000000000001</v>
      </c>
      <c r="AC21" s="127">
        <v>1138.4000000000001</v>
      </c>
      <c r="AD21" s="128">
        <f>AC21*100/AC56</f>
        <v>4.3689992942208624</v>
      </c>
      <c r="AE21" s="129">
        <f>AB21*100/AB56</f>
        <v>3.1048599349244923</v>
      </c>
    </row>
    <row r="22" spans="1:44" ht="15.75" thickBot="1">
      <c r="A22" s="12" t="s">
        <v>13</v>
      </c>
      <c r="B22" s="237"/>
      <c r="C22" s="238"/>
      <c r="D22" s="238"/>
      <c r="E22" s="238"/>
      <c r="F22" s="238"/>
      <c r="G22" s="238"/>
      <c r="H22" s="239"/>
      <c r="I22" s="12" t="s">
        <v>19</v>
      </c>
      <c r="J22" s="15"/>
      <c r="K22" s="240" t="s">
        <v>16</v>
      </c>
      <c r="L22" s="241"/>
      <c r="T22">
        <v>2</v>
      </c>
      <c r="U22" s="130">
        <v>105</v>
      </c>
      <c r="V22" s="131">
        <v>1139</v>
      </c>
      <c r="W22" s="132">
        <v>1138.5999999999999</v>
      </c>
      <c r="X22" s="119">
        <f>W22*100/W68</f>
        <v>4.3697668626140835</v>
      </c>
      <c r="Y22" s="133">
        <f>V22*100/V68</f>
        <v>2.2455566466800949</v>
      </c>
      <c r="Z22" s="116"/>
      <c r="AA22" s="130">
        <v>105</v>
      </c>
      <c r="AB22" s="131">
        <v>1139</v>
      </c>
      <c r="AC22" s="132">
        <v>1138.5999999999999</v>
      </c>
      <c r="AD22" s="119">
        <f>AC22*100/AC56</f>
        <v>4.3697668626140835</v>
      </c>
      <c r="AE22" s="133">
        <f>AB22*100/AB56</f>
        <v>3.1064963684811984</v>
      </c>
    </row>
    <row r="23" spans="1:44" ht="15.75" thickBot="1">
      <c r="A23" s="65"/>
      <c r="B23" s="242" t="s">
        <v>246</v>
      </c>
      <c r="C23" s="243"/>
      <c r="D23" s="243"/>
      <c r="E23" s="243"/>
      <c r="F23" s="243"/>
      <c r="G23" s="243"/>
      <c r="H23" s="243"/>
      <c r="I23" s="66"/>
      <c r="J23" s="18"/>
      <c r="K23" s="244">
        <f>'2014'!G50</f>
        <v>-35090.998452580017</v>
      </c>
      <c r="L23" s="245"/>
      <c r="T23">
        <v>3</v>
      </c>
      <c r="U23" s="130">
        <v>106</v>
      </c>
      <c r="V23" s="131">
        <v>1139.7</v>
      </c>
      <c r="W23" s="132">
        <v>1139.7</v>
      </c>
      <c r="X23" s="119">
        <f>W23*100/W68</f>
        <v>4.3739884887768063</v>
      </c>
      <c r="Y23" s="133">
        <f>V23*100/V68</f>
        <v>2.2469367078325764</v>
      </c>
      <c r="Z23" s="116"/>
      <c r="AA23" s="130">
        <v>106</v>
      </c>
      <c r="AB23" s="131">
        <v>1139.7</v>
      </c>
      <c r="AC23" s="132">
        <v>1139.7</v>
      </c>
      <c r="AD23" s="119">
        <f>AC23*100/AC56</f>
        <v>4.3739884887768063</v>
      </c>
      <c r="AE23" s="133">
        <f>AB23*100/AB56</f>
        <v>3.1084055409640223</v>
      </c>
      <c r="AJ23" s="50"/>
      <c r="AK23" s="50"/>
      <c r="AL23" s="50"/>
      <c r="AM23" s="50"/>
      <c r="AN23" s="50"/>
      <c r="AO23" s="50"/>
      <c r="AP23" s="50"/>
      <c r="AQ23" s="51"/>
      <c r="AR23" s="6"/>
    </row>
    <row r="24" spans="1:44" ht="15" customHeight="1">
      <c r="A24" s="17">
        <v>1</v>
      </c>
      <c r="B24" s="246" t="s">
        <v>243</v>
      </c>
      <c r="C24" s="247"/>
      <c r="D24" s="247"/>
      <c r="E24" s="247"/>
      <c r="F24" s="247"/>
      <c r="G24" s="247"/>
      <c r="H24" s="231"/>
      <c r="I24" s="17" t="s">
        <v>86</v>
      </c>
      <c r="J24" s="177">
        <v>1</v>
      </c>
      <c r="K24" s="234">
        <v>44295.88</v>
      </c>
      <c r="L24" s="235"/>
      <c r="N24" t="s">
        <v>244</v>
      </c>
      <c r="T24">
        <v>4</v>
      </c>
      <c r="U24" s="130">
        <v>107</v>
      </c>
      <c r="V24" s="131">
        <v>1139.8</v>
      </c>
      <c r="W24" s="132">
        <v>1139.5999999999999</v>
      </c>
      <c r="X24" s="119">
        <f>W24*100/W68</f>
        <v>4.3736047045801945</v>
      </c>
      <c r="Y24" s="133">
        <f>V24*100/V68</f>
        <v>2.2471338594257877</v>
      </c>
      <c r="Z24" s="116"/>
      <c r="AA24" s="130">
        <v>107</v>
      </c>
      <c r="AB24" s="131">
        <v>1139.8</v>
      </c>
      <c r="AC24" s="132">
        <v>1139.5999999999999</v>
      </c>
      <c r="AD24" s="119">
        <f>AC24*100/AC56</f>
        <v>4.3736047045801945</v>
      </c>
      <c r="AE24" s="133">
        <f>AB24*100/AB56</f>
        <v>3.1086782798901402</v>
      </c>
    </row>
    <row r="25" spans="1:44">
      <c r="A25" s="162">
        <v>2</v>
      </c>
      <c r="B25" s="248"/>
      <c r="C25" s="249"/>
      <c r="D25" s="249"/>
      <c r="E25" s="249"/>
      <c r="F25" s="249"/>
      <c r="G25" s="249"/>
      <c r="H25" s="249"/>
      <c r="I25" s="117"/>
      <c r="J25" s="118"/>
      <c r="K25" s="250"/>
      <c r="L25" s="251"/>
      <c r="Q25" s="68"/>
      <c r="T25">
        <v>5</v>
      </c>
      <c r="U25" s="130">
        <v>113</v>
      </c>
      <c r="V25" s="134">
        <v>952.5</v>
      </c>
      <c r="W25" s="135">
        <v>951</v>
      </c>
      <c r="X25" s="119">
        <f>W25*100/W68</f>
        <v>3.649787709771644</v>
      </c>
      <c r="Y25" s="133">
        <f>V25*100/V68</f>
        <v>1.8778689253404657</v>
      </c>
      <c r="Z25" s="116"/>
      <c r="AA25" s="130">
        <v>113</v>
      </c>
      <c r="AB25" s="134">
        <v>952.5</v>
      </c>
      <c r="AC25" s="135">
        <v>951</v>
      </c>
      <c r="AD25" s="119">
        <f>AC25*100/AC56</f>
        <v>3.649787709771644</v>
      </c>
      <c r="AE25" s="133">
        <f>AB25*100/AB56</f>
        <v>2.5978382712715904</v>
      </c>
    </row>
    <row r="26" spans="1:44">
      <c r="A26" s="162">
        <v>3</v>
      </c>
      <c r="B26" s="248"/>
      <c r="C26" s="249"/>
      <c r="D26" s="249"/>
      <c r="E26" s="249"/>
      <c r="F26" s="249"/>
      <c r="G26" s="249"/>
      <c r="H26" s="249"/>
      <c r="I26" s="117"/>
      <c r="J26" s="118"/>
      <c r="K26" s="250"/>
      <c r="L26" s="251"/>
      <c r="T26">
        <v>6</v>
      </c>
      <c r="U26" s="130">
        <v>114</v>
      </c>
      <c r="V26" s="134">
        <v>989.1</v>
      </c>
      <c r="W26" s="135">
        <v>989.1</v>
      </c>
      <c r="X26" s="119">
        <f>W26*100/W68</f>
        <v>3.7960094886804763</v>
      </c>
      <c r="Y26" s="133">
        <f>V26*100/V68</f>
        <v>1.9500264084559105</v>
      </c>
      <c r="Z26" s="116"/>
      <c r="AA26" s="130">
        <v>114</v>
      </c>
      <c r="AB26" s="134">
        <v>699.3</v>
      </c>
      <c r="AC26" s="135">
        <v>989.1</v>
      </c>
      <c r="AD26" s="119">
        <f>AC26*100/AC56</f>
        <v>3.7960094886804763</v>
      </c>
      <c r="AE26" s="133">
        <f>AB26*100/AB56</f>
        <v>1.9072633103414416</v>
      </c>
    </row>
    <row r="27" spans="1:44">
      <c r="A27" s="162">
        <v>4</v>
      </c>
      <c r="B27" s="196"/>
      <c r="C27" s="197"/>
      <c r="D27" s="197"/>
      <c r="E27" s="197"/>
      <c r="F27" s="197"/>
      <c r="G27" s="197"/>
      <c r="H27" s="193"/>
      <c r="I27" s="95"/>
      <c r="J27" s="167"/>
      <c r="K27" s="234"/>
      <c r="L27" s="235"/>
      <c r="T27">
        <v>7</v>
      </c>
      <c r="U27" s="130">
        <v>111</v>
      </c>
      <c r="V27" s="134">
        <v>673.89</v>
      </c>
      <c r="W27" s="135">
        <v>673.89</v>
      </c>
      <c r="X27" s="119">
        <f>W27*100/W68</f>
        <v>2.5862833225426005</v>
      </c>
      <c r="Y27" s="133">
        <f>V27*100/V68</f>
        <v>1.3285848714936341</v>
      </c>
      <c r="AA27" s="130">
        <v>111</v>
      </c>
      <c r="AB27" s="134">
        <v>581.29999999999995</v>
      </c>
      <c r="AC27" s="135">
        <v>673.89</v>
      </c>
      <c r="AD27" s="119">
        <f>AC27*100/AC56</f>
        <v>2.5862833225426005</v>
      </c>
      <c r="AE27" s="133">
        <f>AB27*100/AB56</f>
        <v>1.5854313775224937</v>
      </c>
    </row>
    <row r="28" spans="1:44">
      <c r="A28" s="162">
        <v>5</v>
      </c>
      <c r="B28" s="196"/>
      <c r="C28" s="197"/>
      <c r="D28" s="197"/>
      <c r="E28" s="197"/>
      <c r="F28" s="197"/>
      <c r="G28" s="197"/>
      <c r="H28" s="193"/>
      <c r="I28" s="168"/>
      <c r="J28" s="95"/>
      <c r="K28" s="198"/>
      <c r="L28" s="199"/>
      <c r="T28">
        <v>8</v>
      </c>
      <c r="U28" s="130">
        <v>101</v>
      </c>
      <c r="V28" s="134">
        <v>1133.9000000000001</v>
      </c>
      <c r="W28" s="135">
        <v>953.6</v>
      </c>
      <c r="X28" s="119">
        <f>W28*100/W68</f>
        <v>3.6597660988835328</v>
      </c>
      <c r="Y28" s="133">
        <f>V28*100/V68</f>
        <v>2.2355019154263038</v>
      </c>
      <c r="Z28" s="116"/>
      <c r="AA28" s="130">
        <v>101</v>
      </c>
      <c r="AB28" s="134">
        <v>1133.9000000000001</v>
      </c>
      <c r="AC28" s="135">
        <v>953.6</v>
      </c>
      <c r="AD28" s="119">
        <f>AC28*100/AC56</f>
        <v>3.6597660988835328</v>
      </c>
      <c r="AE28" s="133">
        <f>AB28*100/AB56</f>
        <v>3.0925866832491935</v>
      </c>
    </row>
    <row r="29" spans="1:44">
      <c r="A29" s="162">
        <v>6</v>
      </c>
      <c r="B29" s="229"/>
      <c r="C29" s="230"/>
      <c r="D29" s="230"/>
      <c r="E29" s="230"/>
      <c r="F29" s="230"/>
      <c r="G29" s="230"/>
      <c r="H29" s="231"/>
      <c r="I29" s="117"/>
      <c r="J29" s="118"/>
      <c r="K29" s="258"/>
      <c r="L29" s="259"/>
      <c r="T29">
        <v>9</v>
      </c>
      <c r="U29" s="130">
        <v>108</v>
      </c>
      <c r="V29" s="134">
        <v>1134.3</v>
      </c>
      <c r="W29" s="135">
        <v>730.32</v>
      </c>
      <c r="X29" s="119">
        <f>W29*100/W68</f>
        <v>2.8028527446902491</v>
      </c>
      <c r="Y29" s="133">
        <f>V29*100/V68</f>
        <v>2.23629052179915</v>
      </c>
      <c r="Z29" s="116"/>
      <c r="AA29" s="130">
        <v>108</v>
      </c>
      <c r="AB29" s="134">
        <v>1134.3</v>
      </c>
      <c r="AC29" s="135">
        <v>730.32</v>
      </c>
      <c r="AD29" s="119">
        <f>AC29*100/AC56</f>
        <v>2.8028527446902491</v>
      </c>
      <c r="AE29" s="133">
        <f>AB29*100/AB56</f>
        <v>3.0936776389536638</v>
      </c>
    </row>
    <row r="30" spans="1:44">
      <c r="A30" s="162">
        <v>7</v>
      </c>
      <c r="B30" s="229"/>
      <c r="C30" s="230"/>
      <c r="D30" s="230"/>
      <c r="E30" s="230"/>
      <c r="F30" s="230"/>
      <c r="G30" s="230"/>
      <c r="H30" s="231"/>
      <c r="I30" s="117"/>
      <c r="J30" s="118"/>
      <c r="K30" s="234"/>
      <c r="L30" s="259"/>
      <c r="T30">
        <v>10</v>
      </c>
      <c r="U30" s="130">
        <v>115</v>
      </c>
      <c r="V30" s="134">
        <v>945.5</v>
      </c>
      <c r="W30" s="135">
        <v>941.1</v>
      </c>
      <c r="X30" s="119">
        <f>W30*100/W68</f>
        <v>3.611793074307144</v>
      </c>
      <c r="Y30" s="133">
        <f>V30*100/V68</f>
        <v>1.864068313815654</v>
      </c>
      <c r="Z30" s="116"/>
      <c r="AA30" s="130">
        <v>115</v>
      </c>
      <c r="AB30" s="134">
        <v>945.5</v>
      </c>
      <c r="AC30" s="135">
        <v>941.1</v>
      </c>
      <c r="AD30" s="119">
        <f>AC30*100/AC56</f>
        <v>3.611793074307144</v>
      </c>
      <c r="AE30" s="133">
        <f>AB30*100/AB56</f>
        <v>2.5787465464433477</v>
      </c>
    </row>
    <row r="31" spans="1:44">
      <c r="A31" s="162">
        <v>8</v>
      </c>
      <c r="B31" s="229"/>
      <c r="C31" s="247"/>
      <c r="D31" s="247"/>
      <c r="E31" s="247"/>
      <c r="F31" s="247"/>
      <c r="G31" s="247"/>
      <c r="H31" s="231"/>
      <c r="I31" s="17"/>
      <c r="J31" s="170"/>
      <c r="K31" s="234"/>
      <c r="L31" s="235"/>
      <c r="T31">
        <v>11</v>
      </c>
      <c r="U31" s="130">
        <v>117</v>
      </c>
      <c r="V31" s="134">
        <v>682.1</v>
      </c>
      <c r="W31" s="135">
        <v>682.1</v>
      </c>
      <c r="X31" s="119">
        <f>W31*100/W68</f>
        <v>2.6177920050843726</v>
      </c>
      <c r="Y31" s="133">
        <f>V31*100/V68</f>
        <v>1.3447710172963063</v>
      </c>
      <c r="Z31" s="116"/>
      <c r="AA31" s="130">
        <v>117</v>
      </c>
      <c r="AB31" s="134">
        <v>581.1</v>
      </c>
      <c r="AC31" s="135">
        <v>682.1</v>
      </c>
      <c r="AD31" s="119">
        <f>AC31*100/AC56</f>
        <v>2.6177920050843726</v>
      </c>
      <c r="AE31" s="133">
        <f>AB31*100/AB56</f>
        <v>1.5848858996702584</v>
      </c>
    </row>
    <row r="32" spans="1:44">
      <c r="A32" s="162">
        <v>9</v>
      </c>
      <c r="B32" s="229"/>
      <c r="C32" s="247"/>
      <c r="D32" s="247"/>
      <c r="E32" s="247"/>
      <c r="F32" s="247"/>
      <c r="G32" s="247"/>
      <c r="H32" s="231"/>
      <c r="I32" s="17"/>
      <c r="J32" s="170"/>
      <c r="K32" s="234"/>
      <c r="L32" s="235"/>
      <c r="N32" s="163"/>
      <c r="T32">
        <v>12</v>
      </c>
      <c r="U32" s="130">
        <v>119</v>
      </c>
      <c r="V32" s="134">
        <v>945.5</v>
      </c>
      <c r="W32" s="135">
        <v>942.5</v>
      </c>
      <c r="X32" s="119">
        <f>W32*100/W68</f>
        <v>3.6171660530596998</v>
      </c>
      <c r="Y32" s="133">
        <f>V32*100/V68</f>
        <v>1.864068313815654</v>
      </c>
      <c r="Z32" s="116"/>
      <c r="AA32" s="130">
        <v>119</v>
      </c>
      <c r="AB32" s="134">
        <v>945.5</v>
      </c>
      <c r="AC32" s="135">
        <v>942.5</v>
      </c>
      <c r="AD32" s="119">
        <f>AC32*100/AC56</f>
        <v>3.6171660530596998</v>
      </c>
      <c r="AE32" s="133">
        <f>AB32*100/AB56</f>
        <v>2.5787465464433477</v>
      </c>
    </row>
    <row r="33" spans="1:31">
      <c r="A33" s="162">
        <v>10</v>
      </c>
      <c r="B33" s="260"/>
      <c r="C33" s="249"/>
      <c r="D33" s="249"/>
      <c r="E33" s="249"/>
      <c r="F33" s="249"/>
      <c r="G33" s="249"/>
      <c r="H33" s="249"/>
      <c r="I33" s="17"/>
      <c r="J33" s="118"/>
      <c r="K33" s="232"/>
      <c r="L33" s="233"/>
      <c r="N33" s="55"/>
      <c r="T33">
        <v>13</v>
      </c>
      <c r="U33" s="130">
        <v>120</v>
      </c>
      <c r="V33" s="134">
        <v>931.8</v>
      </c>
      <c r="W33" s="135">
        <v>936.2</v>
      </c>
      <c r="X33" s="119">
        <f>W33*100/W68</f>
        <v>3.5929876486732</v>
      </c>
      <c r="Y33" s="133">
        <f>V33*100/V68</f>
        <v>1.8370585455456652</v>
      </c>
      <c r="Z33" s="116"/>
      <c r="AA33" s="130">
        <v>120</v>
      </c>
      <c r="AB33" s="134">
        <v>931.8</v>
      </c>
      <c r="AC33" s="135">
        <v>936.2</v>
      </c>
      <c r="AD33" s="119">
        <f>AC33*100/AC56</f>
        <v>3.5929876486732</v>
      </c>
      <c r="AE33" s="133">
        <f>AB33*100/AB56</f>
        <v>2.5413813135652155</v>
      </c>
    </row>
    <row r="34" spans="1:31">
      <c r="A34" s="17"/>
      <c r="B34" s="248"/>
      <c r="C34" s="249"/>
      <c r="D34" s="249"/>
      <c r="E34" s="249"/>
      <c r="F34" s="249"/>
      <c r="G34" s="249"/>
      <c r="H34" s="263"/>
      <c r="I34" s="17"/>
      <c r="J34" s="118"/>
      <c r="K34" s="232"/>
      <c r="L34" s="233"/>
      <c r="T34">
        <v>14</v>
      </c>
      <c r="U34" s="130">
        <v>121</v>
      </c>
      <c r="V34" s="134">
        <v>933.8</v>
      </c>
      <c r="W34" s="135">
        <v>934.2</v>
      </c>
      <c r="X34" s="119">
        <f>W34*100/W68</f>
        <v>3.5853119647409777</v>
      </c>
      <c r="Y34" s="133">
        <f>V34*100/V68</f>
        <v>1.8410015774098971</v>
      </c>
      <c r="Z34" s="116"/>
      <c r="AA34" s="130">
        <v>121</v>
      </c>
      <c r="AB34" s="134">
        <v>933.8</v>
      </c>
      <c r="AC34" s="135">
        <v>934.2</v>
      </c>
      <c r="AD34" s="119">
        <f>AC34*100/AC56</f>
        <v>3.5853119647409777</v>
      </c>
      <c r="AE34" s="133">
        <f>AB34*100/AB56</f>
        <v>2.5468360920875708</v>
      </c>
    </row>
    <row r="35" spans="1:31">
      <c r="A35" s="162"/>
      <c r="B35" s="260"/>
      <c r="C35" s="261"/>
      <c r="D35" s="261"/>
      <c r="E35" s="261"/>
      <c r="F35" s="261"/>
      <c r="G35" s="261"/>
      <c r="H35" s="262"/>
      <c r="I35" s="17"/>
      <c r="J35" s="118"/>
      <c r="K35" s="232"/>
      <c r="L35" s="233"/>
      <c r="T35">
        <v>15</v>
      </c>
      <c r="U35" s="130">
        <v>122</v>
      </c>
      <c r="V35" s="134">
        <v>934.9</v>
      </c>
      <c r="W35" s="135">
        <v>935.3</v>
      </c>
      <c r="X35" s="119">
        <f>W35*100/W68</f>
        <v>3.5895335909036996</v>
      </c>
      <c r="Y35" s="133">
        <f>V35*100/V68</f>
        <v>1.8431702449352245</v>
      </c>
      <c r="Z35" s="116"/>
      <c r="AA35" s="130">
        <v>122</v>
      </c>
      <c r="AB35" s="134">
        <v>934.9</v>
      </c>
      <c r="AC35" s="135">
        <v>935.3</v>
      </c>
      <c r="AD35" s="119">
        <f>AC35*100/AC56</f>
        <v>3.5895335909036996</v>
      </c>
      <c r="AE35" s="133">
        <f>AB35*100/AB56</f>
        <v>2.5498362202748659</v>
      </c>
    </row>
    <row r="36" spans="1:31">
      <c r="A36" s="162"/>
      <c r="B36" s="260"/>
      <c r="C36" s="261"/>
      <c r="D36" s="261"/>
      <c r="E36" s="261"/>
      <c r="F36" s="261"/>
      <c r="G36" s="261"/>
      <c r="H36" s="262"/>
      <c r="I36" s="17"/>
      <c r="J36" s="118"/>
      <c r="K36" s="232"/>
      <c r="L36" s="233"/>
      <c r="T36">
        <v>16</v>
      </c>
      <c r="U36" s="130">
        <v>123</v>
      </c>
      <c r="V36" s="134">
        <v>935.5</v>
      </c>
      <c r="W36" s="135">
        <v>938.1</v>
      </c>
      <c r="X36" s="119">
        <f>W36*100/W68</f>
        <v>3.6002795484088108</v>
      </c>
      <c r="Y36" s="133">
        <f>V36*100/V68</f>
        <v>1.8443531544944942</v>
      </c>
      <c r="Z36" s="116"/>
      <c r="AA36" s="130">
        <v>123</v>
      </c>
      <c r="AB36" s="134">
        <v>935.5</v>
      </c>
      <c r="AC36" s="135">
        <v>938.1</v>
      </c>
      <c r="AD36" s="119">
        <f>AC36*100/AC56</f>
        <v>3.6002795484088108</v>
      </c>
      <c r="AE36" s="133">
        <f>AB36*100/AB56</f>
        <v>2.5514726538315724</v>
      </c>
    </row>
    <row r="37" spans="1:31">
      <c r="A37" s="162"/>
      <c r="B37" s="248"/>
      <c r="C37" s="249"/>
      <c r="D37" s="249"/>
      <c r="E37" s="249"/>
      <c r="F37" s="249"/>
      <c r="G37" s="249"/>
      <c r="H37" s="263"/>
      <c r="I37" s="17"/>
      <c r="J37" s="118"/>
      <c r="K37" s="232"/>
      <c r="L37" s="233"/>
      <c r="T37">
        <v>17</v>
      </c>
      <c r="U37" s="130">
        <v>124</v>
      </c>
      <c r="V37" s="134">
        <v>935.1</v>
      </c>
      <c r="W37" s="135">
        <v>935.1</v>
      </c>
      <c r="X37" s="119">
        <f>W37*100/W68</f>
        <v>3.5887660225104776</v>
      </c>
      <c r="Y37" s="133">
        <f>V37*100/V68</f>
        <v>1.8435645481216478</v>
      </c>
      <c r="Z37" s="116"/>
      <c r="AA37" s="130">
        <v>124</v>
      </c>
      <c r="AB37" s="134">
        <v>935.1</v>
      </c>
      <c r="AC37" s="135">
        <v>935.1</v>
      </c>
      <c r="AD37" s="119">
        <f>AC37*100/AC56</f>
        <v>3.5887660225104776</v>
      </c>
      <c r="AE37" s="133">
        <f>AB37*100/AB56</f>
        <v>2.5503816981271012</v>
      </c>
    </row>
    <row r="38" spans="1:31">
      <c r="A38" s="162"/>
      <c r="B38" s="260"/>
      <c r="C38" s="261"/>
      <c r="D38" s="261"/>
      <c r="E38" s="261"/>
      <c r="F38" s="261"/>
      <c r="G38" s="261"/>
      <c r="H38" s="262"/>
      <c r="I38" s="17"/>
      <c r="J38" s="118"/>
      <c r="K38" s="232"/>
      <c r="L38" s="233"/>
      <c r="T38">
        <v>18</v>
      </c>
      <c r="U38" s="130">
        <v>82</v>
      </c>
      <c r="V38" s="134">
        <v>1139.2</v>
      </c>
      <c r="W38" s="135">
        <v>961.1</v>
      </c>
      <c r="X38" s="119">
        <f>W38*100/W68</f>
        <v>3.688549913629366</v>
      </c>
      <c r="Y38" s="133">
        <f>V38*100/V68</f>
        <v>2.245950949866518</v>
      </c>
      <c r="Z38" s="116"/>
      <c r="AA38" s="130">
        <v>82</v>
      </c>
      <c r="AB38" s="134">
        <v>1139.2</v>
      </c>
      <c r="AC38" s="135">
        <v>961.1</v>
      </c>
      <c r="AD38" s="119">
        <f>AC38*100/AC56</f>
        <v>3.688549913629366</v>
      </c>
      <c r="AE38" s="133">
        <f>AB38*100/AB56</f>
        <v>3.1070418463334337</v>
      </c>
    </row>
    <row r="39" spans="1:31">
      <c r="A39" s="164"/>
      <c r="B39" s="248"/>
      <c r="C39" s="249"/>
      <c r="D39" s="249"/>
      <c r="E39" s="249"/>
      <c r="F39" s="249"/>
      <c r="G39" s="249"/>
      <c r="H39" s="263"/>
      <c r="I39" s="51"/>
      <c r="J39" s="165"/>
      <c r="K39" s="264"/>
      <c r="L39" s="265"/>
      <c r="T39">
        <v>19</v>
      </c>
      <c r="U39" s="130">
        <v>83</v>
      </c>
      <c r="V39" s="134">
        <v>1138.9000000000001</v>
      </c>
      <c r="W39" s="135">
        <v>637.9</v>
      </c>
      <c r="X39" s="119">
        <f>W39*100/W68</f>
        <v>2.4481593901822625</v>
      </c>
      <c r="Y39" s="133">
        <f>V39*100/V68</f>
        <v>2.2453594950868836</v>
      </c>
      <c r="Z39" s="116"/>
      <c r="AA39" s="130">
        <v>83</v>
      </c>
      <c r="AB39" s="134">
        <v>1138.9000000000001</v>
      </c>
      <c r="AC39" s="135">
        <v>637.9</v>
      </c>
      <c r="AD39" s="119">
        <f>AC39*100/AC56</f>
        <v>2.4481593901822625</v>
      </c>
      <c r="AE39" s="133">
        <f>AB39*100/AB56</f>
        <v>3.1062236295550809</v>
      </c>
    </row>
    <row r="40" spans="1:31">
      <c r="A40" s="164"/>
      <c r="B40" s="196"/>
      <c r="C40" s="197"/>
      <c r="D40" s="197"/>
      <c r="E40" s="197"/>
      <c r="F40" s="197"/>
      <c r="G40" s="197"/>
      <c r="H40" s="193"/>
      <c r="I40" s="51"/>
      <c r="J40" s="165"/>
      <c r="K40" s="264"/>
      <c r="L40" s="265"/>
      <c r="T40">
        <v>20</v>
      </c>
      <c r="U40" s="130">
        <v>84</v>
      </c>
      <c r="V40" s="134">
        <v>1139</v>
      </c>
      <c r="W40" s="135">
        <v>945.6</v>
      </c>
      <c r="X40" s="119">
        <f>W40*100/W68</f>
        <v>3.6290633631546441</v>
      </c>
      <c r="Y40" s="133">
        <f>V40*100/V68</f>
        <v>2.2455566466800949</v>
      </c>
      <c r="Z40" s="116"/>
      <c r="AA40" s="130">
        <v>84</v>
      </c>
      <c r="AB40" s="134">
        <v>1139</v>
      </c>
      <c r="AC40" s="135">
        <v>945.6</v>
      </c>
      <c r="AD40" s="119">
        <f>AC40*100/AC56</f>
        <v>3.6290633631546441</v>
      </c>
      <c r="AE40" s="133">
        <f>AB40*100/AB56</f>
        <v>3.1064963684811984</v>
      </c>
    </row>
    <row r="41" spans="1:31">
      <c r="A41" s="162">
        <v>15</v>
      </c>
      <c r="B41" s="229"/>
      <c r="C41" s="230"/>
      <c r="D41" s="230"/>
      <c r="E41" s="230"/>
      <c r="F41" s="230"/>
      <c r="G41" s="230"/>
      <c r="H41" s="231"/>
      <c r="I41" s="17"/>
      <c r="J41" s="17"/>
      <c r="K41" s="234"/>
      <c r="L41" s="235"/>
      <c r="T41">
        <v>21</v>
      </c>
      <c r="U41" s="130">
        <v>85</v>
      </c>
      <c r="V41" s="134">
        <v>1142.4000000000001</v>
      </c>
      <c r="W41" s="135">
        <v>892.1</v>
      </c>
      <c r="X41" s="119">
        <f>W41*100/W68</f>
        <v>3.4237388179677009</v>
      </c>
      <c r="Y41" s="133">
        <f>V41*100/V68</f>
        <v>2.2522598008492896</v>
      </c>
      <c r="Z41" s="116"/>
      <c r="AA41" s="130">
        <v>85</v>
      </c>
      <c r="AB41" s="134">
        <v>1142.4000000000001</v>
      </c>
      <c r="AC41" s="135">
        <v>892.1</v>
      </c>
      <c r="AD41" s="119">
        <f>AC41*100/AC56</f>
        <v>3.4237388179677009</v>
      </c>
      <c r="AE41" s="133">
        <f>AB41*100/AB56</f>
        <v>3.1157694919692021</v>
      </c>
    </row>
    <row r="42" spans="1:31">
      <c r="A42" s="17"/>
      <c r="B42" s="229"/>
      <c r="C42" s="230"/>
      <c r="D42" s="230"/>
      <c r="E42" s="230"/>
      <c r="F42" s="230"/>
      <c r="G42" s="230"/>
      <c r="H42" s="231"/>
      <c r="I42" s="17"/>
      <c r="J42" s="166"/>
      <c r="K42" s="232"/>
      <c r="L42" s="233"/>
      <c r="T42">
        <v>22</v>
      </c>
      <c r="U42" s="130">
        <v>90</v>
      </c>
      <c r="V42" s="131">
        <v>1139.3</v>
      </c>
      <c r="W42" s="132">
        <v>1139.3</v>
      </c>
      <c r="X42" s="119">
        <f>W42*100/W68</f>
        <v>4.3724533519903614</v>
      </c>
      <c r="Y42" s="133">
        <f>V42*100/V68</f>
        <v>2.2461481014597298</v>
      </c>
      <c r="Z42" s="116"/>
      <c r="AA42" s="130">
        <v>90</v>
      </c>
      <c r="AB42" s="131">
        <v>1139.3</v>
      </c>
      <c r="AC42" s="132">
        <v>1139.3</v>
      </c>
      <c r="AD42" s="119">
        <f>AC42*100/AC56</f>
        <v>4.3724533519903614</v>
      </c>
      <c r="AE42" s="133">
        <f>AB42*100/AB56</f>
        <v>3.1073145852595516</v>
      </c>
    </row>
    <row r="43" spans="1:31">
      <c r="A43" s="17"/>
      <c r="B43" s="229" t="s">
        <v>202</v>
      </c>
      <c r="C43" s="230"/>
      <c r="D43" s="230"/>
      <c r="E43" s="230"/>
      <c r="F43" s="230"/>
      <c r="G43" s="230"/>
      <c r="H43" s="230"/>
      <c r="I43" s="17"/>
      <c r="J43" s="169"/>
      <c r="K43" s="266">
        <f>SUM(K24:L42)</f>
        <v>44295.88</v>
      </c>
      <c r="L43" s="267"/>
      <c r="T43">
        <v>23</v>
      </c>
      <c r="U43" s="130">
        <v>91</v>
      </c>
      <c r="V43" s="131">
        <v>1138.4000000000001</v>
      </c>
      <c r="W43" s="132">
        <v>1123.3</v>
      </c>
      <c r="X43" s="119">
        <f>W43*100/W68</f>
        <v>4.311047880532584</v>
      </c>
      <c r="Y43" s="133">
        <f>V43*100/V68</f>
        <v>2.2443737371208257</v>
      </c>
      <c r="Z43" s="116"/>
      <c r="AA43" s="130">
        <v>91</v>
      </c>
      <c r="AB43" s="131">
        <v>1138.4000000000001</v>
      </c>
      <c r="AC43" s="132">
        <v>1123.3</v>
      </c>
      <c r="AD43" s="119">
        <f>AC43*100/AC56</f>
        <v>4.311047880532584</v>
      </c>
      <c r="AE43" s="133">
        <f>AB43*100/AB56</f>
        <v>3.1048599349244923</v>
      </c>
    </row>
    <row r="44" spans="1:31">
      <c r="A44" s="17"/>
      <c r="B44" s="229" t="s">
        <v>162</v>
      </c>
      <c r="C44" s="230"/>
      <c r="D44" s="230"/>
      <c r="E44" s="230"/>
      <c r="F44" s="230"/>
      <c r="G44" s="230"/>
      <c r="H44" s="230"/>
      <c r="I44" s="17"/>
      <c r="J44" s="169"/>
      <c r="K44" s="234">
        <f>K43*0.14</f>
        <v>6201.4232000000002</v>
      </c>
      <c r="L44" s="235"/>
      <c r="T44">
        <v>24</v>
      </c>
      <c r="U44" s="130">
        <v>92</v>
      </c>
      <c r="V44" s="131">
        <v>1138.9000000000001</v>
      </c>
      <c r="W44" s="132">
        <v>1138.9000000000001</v>
      </c>
      <c r="X44" s="119">
        <f>W44*100/W68</f>
        <v>4.3709182152039174</v>
      </c>
      <c r="Y44" s="133">
        <f>V44*100/V68</f>
        <v>2.2453594950868836</v>
      </c>
      <c r="Z44" s="116"/>
      <c r="AA44" s="130">
        <v>92</v>
      </c>
      <c r="AB44" s="131">
        <v>1138.9000000000001</v>
      </c>
      <c r="AC44" s="132">
        <v>1138.9000000000001</v>
      </c>
      <c r="AD44" s="119">
        <f>AC44*100/AC56</f>
        <v>4.3709182152039174</v>
      </c>
      <c r="AE44" s="133">
        <f>AB44*100/AB56</f>
        <v>3.1062236295550809</v>
      </c>
    </row>
    <row r="45" spans="1:31" ht="15.75" thickBot="1">
      <c r="A45" s="17"/>
      <c r="B45" t="s">
        <v>203</v>
      </c>
      <c r="I45" s="64"/>
      <c r="K45" s="268">
        <f>SUM(K43:L44)</f>
        <v>50497.303199999995</v>
      </c>
      <c r="L45" s="269"/>
      <c r="T45">
        <v>25</v>
      </c>
      <c r="U45" s="130">
        <v>93</v>
      </c>
      <c r="V45" s="134">
        <v>1135.5</v>
      </c>
      <c r="W45" s="135">
        <v>801.7</v>
      </c>
      <c r="X45" s="119">
        <f>W45*100/W68</f>
        <v>3.0767979042312588</v>
      </c>
      <c r="Y45" s="133">
        <f>V45*100/V68</f>
        <v>2.2386563409176889</v>
      </c>
      <c r="Z45" s="116"/>
      <c r="AA45" s="130">
        <v>93</v>
      </c>
      <c r="AB45" s="134">
        <v>1135.5</v>
      </c>
      <c r="AC45" s="135">
        <v>801.7</v>
      </c>
      <c r="AD45" s="119">
        <f>AC45*100/AC56</f>
        <v>3.0767979042312588</v>
      </c>
      <c r="AE45" s="133">
        <f>AB45*100/AB56</f>
        <v>3.0969505060670768</v>
      </c>
    </row>
    <row r="46" spans="1:31" ht="16.5" thickBot="1">
      <c r="A46" s="16"/>
      <c r="B46" s="18" t="s">
        <v>204</v>
      </c>
      <c r="C46" s="19"/>
      <c r="D46" s="19"/>
      <c r="E46" s="19"/>
      <c r="F46" s="19"/>
      <c r="G46" s="19"/>
      <c r="H46" s="20"/>
      <c r="I46" s="16"/>
      <c r="J46" s="16"/>
      <c r="K46" s="270">
        <f>K45+K23</f>
        <v>15406.304747419978</v>
      </c>
      <c r="L46" s="271"/>
      <c r="T46">
        <v>26</v>
      </c>
      <c r="U46" s="130">
        <v>98</v>
      </c>
      <c r="V46" s="131">
        <v>1140.2</v>
      </c>
      <c r="W46" s="132">
        <v>1140.2</v>
      </c>
      <c r="X46" s="119">
        <f>W46*100/W68</f>
        <v>4.3759074097598614</v>
      </c>
      <c r="Y46" s="133">
        <f>V46*100/V68</f>
        <v>2.2479224657986343</v>
      </c>
      <c r="Z46" s="116"/>
      <c r="AA46" s="130">
        <v>98</v>
      </c>
      <c r="AB46" s="131">
        <v>1140.2</v>
      </c>
      <c r="AC46" s="132">
        <v>1140.2</v>
      </c>
      <c r="AD46" s="119">
        <f>AC46*100/AC56</f>
        <v>4.3759074097598614</v>
      </c>
      <c r="AE46" s="133">
        <f>AB46*100/AB56</f>
        <v>3.1097692355946114</v>
      </c>
    </row>
    <row r="47" spans="1:31">
      <c r="A47" t="s">
        <v>23</v>
      </c>
      <c r="T47">
        <v>27</v>
      </c>
      <c r="U47" s="130">
        <v>99</v>
      </c>
      <c r="V47" s="131">
        <v>1139.5999999999999</v>
      </c>
      <c r="W47" s="132">
        <v>1177.4000000000001</v>
      </c>
      <c r="X47" s="119">
        <f>W47*100/W68</f>
        <v>4.5186751308991946</v>
      </c>
      <c r="Y47" s="133">
        <f>V47*100/V68</f>
        <v>2.2467395562393642</v>
      </c>
      <c r="Z47" s="116"/>
      <c r="AA47" s="130">
        <v>99</v>
      </c>
      <c r="AB47" s="131">
        <v>1139.5999999999999</v>
      </c>
      <c r="AC47" s="132">
        <v>1177.4000000000001</v>
      </c>
      <c r="AD47" s="119">
        <f>AC47*100/AC56</f>
        <v>4.5186751308991946</v>
      </c>
      <c r="AE47" s="133">
        <f>AB47*100/AB56</f>
        <v>3.1081328020379044</v>
      </c>
    </row>
    <row r="48" spans="1:31">
      <c r="A48" t="s">
        <v>25</v>
      </c>
      <c r="D48" s="170">
        <f>I3</f>
        <v>2015</v>
      </c>
      <c r="E48" t="s">
        <v>26</v>
      </c>
      <c r="G48" s="22">
        <f>K46-G19</f>
        <v>-56590.840883647987</v>
      </c>
      <c r="H48" t="s">
        <v>27</v>
      </c>
      <c r="T48">
        <v>28</v>
      </c>
      <c r="U48" s="137">
        <v>70</v>
      </c>
      <c r="V48" s="138">
        <v>1136.5999999999999</v>
      </c>
      <c r="W48" s="139"/>
      <c r="X48" s="119"/>
      <c r="Y48" s="133">
        <f>V48*100/V68</f>
        <v>2.2408250084430166</v>
      </c>
      <c r="Z48" s="116"/>
      <c r="AA48" s="137">
        <v>70</v>
      </c>
      <c r="AB48" s="138">
        <v>1136.5999999999999</v>
      </c>
      <c r="AC48" s="139"/>
      <c r="AD48" s="119"/>
      <c r="AE48" s="133">
        <f>AB48*100/AB56</f>
        <v>3.0999506342543719</v>
      </c>
    </row>
    <row r="49" spans="1:31" ht="15.75" thickBot="1">
      <c r="A49" t="s">
        <v>28</v>
      </c>
      <c r="B49" s="170">
        <f>I3</f>
        <v>2015</v>
      </c>
      <c r="C49" t="s">
        <v>31</v>
      </c>
      <c r="T49">
        <v>29</v>
      </c>
      <c r="U49" s="140">
        <v>71</v>
      </c>
      <c r="V49" s="138">
        <v>1132.9000000000001</v>
      </c>
      <c r="W49" s="139"/>
      <c r="X49" s="119"/>
      <c r="Y49" s="133">
        <f>V49*100/V68</f>
        <v>2.233530399494188</v>
      </c>
      <c r="Z49" s="116"/>
      <c r="AA49" s="140">
        <v>71</v>
      </c>
      <c r="AB49" s="138">
        <v>1132.9000000000001</v>
      </c>
      <c r="AC49" s="139"/>
      <c r="AD49" s="119"/>
      <c r="AE49" s="133">
        <f>AB49*100/AB56</f>
        <v>3.0898592939880158</v>
      </c>
    </row>
    <row r="50" spans="1:31">
      <c r="A50" s="175" t="s">
        <v>2</v>
      </c>
      <c r="B50" s="272" t="s">
        <v>40</v>
      </c>
      <c r="C50" s="273"/>
      <c r="D50" s="273"/>
      <c r="E50" s="273"/>
      <c r="F50" s="272" t="s">
        <v>41</v>
      </c>
      <c r="G50" s="273"/>
      <c r="H50" s="274"/>
      <c r="I50" s="272" t="s">
        <v>42</v>
      </c>
      <c r="J50" s="273"/>
      <c r="K50" s="273"/>
      <c r="L50" s="274"/>
      <c r="T50">
        <v>30</v>
      </c>
      <c r="U50" s="140">
        <v>72</v>
      </c>
      <c r="V50" s="138">
        <v>1135.5999999999999</v>
      </c>
      <c r="W50" s="139"/>
      <c r="X50" s="119"/>
      <c r="Y50" s="133">
        <f>V50*100/V68</f>
        <v>2.2388534925109003</v>
      </c>
      <c r="Z50" s="116"/>
      <c r="AA50" s="140">
        <v>72</v>
      </c>
      <c r="AB50" s="138">
        <v>1135.5999999999999</v>
      </c>
      <c r="AC50" s="139"/>
      <c r="AD50" s="119"/>
      <c r="AE50" s="133">
        <f>AB50*100/AB56</f>
        <v>3.0972232449931942</v>
      </c>
    </row>
    <row r="51" spans="1:31" ht="15.75" thickBot="1">
      <c r="A51" s="176"/>
      <c r="B51" s="276"/>
      <c r="C51" s="277"/>
      <c r="D51" s="277"/>
      <c r="E51" s="277"/>
      <c r="F51" s="276"/>
      <c r="G51" s="277"/>
      <c r="H51" s="278"/>
      <c r="I51" s="276" t="s">
        <v>87</v>
      </c>
      <c r="J51" s="277"/>
      <c r="K51" s="277"/>
      <c r="L51" s="278"/>
      <c r="T51">
        <v>31</v>
      </c>
      <c r="U51" s="140">
        <v>73</v>
      </c>
      <c r="V51" s="138">
        <v>1135.7</v>
      </c>
      <c r="W51" s="139"/>
      <c r="X51" s="119"/>
      <c r="Y51" s="133">
        <f>V51*100/V68</f>
        <v>2.2390506441041125</v>
      </c>
      <c r="Z51" s="116"/>
      <c r="AA51" s="140">
        <v>73</v>
      </c>
      <c r="AB51" s="138">
        <v>1135.7</v>
      </c>
      <c r="AC51" s="139"/>
      <c r="AD51" s="119"/>
      <c r="AE51" s="133">
        <f>AB51*100/AB56</f>
        <v>3.0974959839193126</v>
      </c>
    </row>
    <row r="52" spans="1:31">
      <c r="A52" s="107" t="s">
        <v>34</v>
      </c>
      <c r="B52" s="216" t="s">
        <v>43</v>
      </c>
      <c r="C52" s="216"/>
      <c r="D52" s="216"/>
      <c r="E52" s="217"/>
      <c r="F52" s="210" t="s">
        <v>180</v>
      </c>
      <c r="G52" s="211"/>
      <c r="H52" s="212"/>
      <c r="I52" s="210" t="s">
        <v>217</v>
      </c>
      <c r="J52" s="211"/>
      <c r="K52" s="211"/>
      <c r="L52" s="212"/>
      <c r="T52">
        <v>32</v>
      </c>
      <c r="U52" s="140">
        <v>76</v>
      </c>
      <c r="V52" s="138">
        <v>1134.5</v>
      </c>
      <c r="W52" s="139"/>
      <c r="X52" s="119"/>
      <c r="Y52" s="133">
        <f>V52*100/V68</f>
        <v>2.2366848249855731</v>
      </c>
      <c r="Z52" s="116"/>
      <c r="AA52" s="140">
        <v>76</v>
      </c>
      <c r="AB52" s="138">
        <v>1134.5</v>
      </c>
      <c r="AC52" s="139"/>
      <c r="AD52" s="119"/>
      <c r="AE52" s="133">
        <f>AB52*100/AB56</f>
        <v>3.0942231168058996</v>
      </c>
    </row>
    <row r="53" spans="1:31">
      <c r="A53" s="95" t="s">
        <v>35</v>
      </c>
      <c r="B53" s="197" t="s">
        <v>44</v>
      </c>
      <c r="C53" s="197"/>
      <c r="D53" s="197"/>
      <c r="E53" s="193"/>
      <c r="F53" s="202" t="s">
        <v>181</v>
      </c>
      <c r="G53" s="203"/>
      <c r="H53" s="204"/>
      <c r="I53" s="202" t="s">
        <v>49</v>
      </c>
      <c r="J53" s="203"/>
      <c r="K53" s="203"/>
      <c r="L53" s="204"/>
      <c r="T53">
        <v>33</v>
      </c>
      <c r="U53" s="140">
        <v>77</v>
      </c>
      <c r="V53" s="138">
        <v>1131</v>
      </c>
      <c r="W53" s="139"/>
      <c r="X53" s="119"/>
      <c r="Y53" s="133">
        <f>V53*100/V68</f>
        <v>2.2297845192231671</v>
      </c>
      <c r="Z53" s="116"/>
      <c r="AA53" s="140">
        <v>77</v>
      </c>
      <c r="AB53" s="138">
        <v>1131</v>
      </c>
      <c r="AC53" s="139"/>
      <c r="AD53" s="119"/>
      <c r="AE53" s="133">
        <f>AB53*100/AB56</f>
        <v>3.084677254391778</v>
      </c>
    </row>
    <row r="54" spans="1:31">
      <c r="A54" s="95" t="s">
        <v>36</v>
      </c>
      <c r="B54" s="197" t="s">
        <v>45</v>
      </c>
      <c r="C54" s="197"/>
      <c r="D54" s="197"/>
      <c r="E54" s="193"/>
      <c r="F54" s="202" t="s">
        <v>164</v>
      </c>
      <c r="G54" s="203"/>
      <c r="H54" s="204"/>
      <c r="I54" s="202" t="s">
        <v>165</v>
      </c>
      <c r="J54" s="203"/>
      <c r="K54" s="203"/>
      <c r="L54" s="204"/>
      <c r="T54">
        <v>34</v>
      </c>
      <c r="U54" s="140">
        <v>78</v>
      </c>
      <c r="V54" s="138">
        <v>1129</v>
      </c>
      <c r="W54" s="139"/>
      <c r="X54" s="119"/>
      <c r="Y54" s="133">
        <f>V54*100/V68</f>
        <v>2.2258414873589354</v>
      </c>
      <c r="Z54" s="116"/>
      <c r="AA54" s="140">
        <v>78</v>
      </c>
      <c r="AB54" s="138">
        <v>1129</v>
      </c>
      <c r="AC54" s="139"/>
      <c r="AD54" s="119"/>
      <c r="AE54" s="133">
        <f>AB54*100/AB56</f>
        <v>3.0792224758694231</v>
      </c>
    </row>
    <row r="55" spans="1:31">
      <c r="A55" s="95" t="s">
        <v>37</v>
      </c>
      <c r="B55" s="197" t="s">
        <v>46</v>
      </c>
      <c r="C55" s="197"/>
      <c r="D55" s="197"/>
      <c r="E55" s="193"/>
      <c r="F55" s="202" t="s">
        <v>166</v>
      </c>
      <c r="G55" s="203"/>
      <c r="H55" s="204"/>
      <c r="I55" s="202" t="s">
        <v>167</v>
      </c>
      <c r="J55" s="203"/>
      <c r="K55" s="203"/>
      <c r="L55" s="204"/>
      <c r="T55">
        <v>35</v>
      </c>
      <c r="U55" s="141">
        <v>79</v>
      </c>
      <c r="V55" s="142">
        <v>1137</v>
      </c>
      <c r="W55" s="143"/>
      <c r="X55" s="136"/>
      <c r="Y55" s="144">
        <f>V55*100/V68</f>
        <v>2.2416136148158632</v>
      </c>
      <c r="Z55" s="116"/>
      <c r="AA55" s="141">
        <v>79</v>
      </c>
      <c r="AB55" s="142">
        <v>1137</v>
      </c>
      <c r="AC55" s="143"/>
      <c r="AD55" s="136"/>
      <c r="AE55" s="144">
        <f>AB55*100/AB56</f>
        <v>3.101041589958843</v>
      </c>
    </row>
    <row r="56" spans="1:31" ht="15.75" thickBot="1">
      <c r="A56" s="95" t="s">
        <v>38</v>
      </c>
      <c r="B56" s="197" t="s">
        <v>47</v>
      </c>
      <c r="C56" s="197"/>
      <c r="D56" s="197"/>
      <c r="E56" s="193"/>
      <c r="F56" s="202" t="s">
        <v>168</v>
      </c>
      <c r="G56" s="203"/>
      <c r="H56" s="204"/>
      <c r="I56" s="202" t="s">
        <v>169</v>
      </c>
      <c r="J56" s="203"/>
      <c r="K56" s="203"/>
      <c r="L56" s="204"/>
      <c r="T56">
        <v>36</v>
      </c>
      <c r="U56" s="140">
        <v>80</v>
      </c>
      <c r="V56" s="138">
        <v>1128.8</v>
      </c>
      <c r="W56" s="139"/>
      <c r="X56" s="119"/>
      <c r="Y56" s="144">
        <f>V56*100/V68</f>
        <v>2.2254471841725119</v>
      </c>
      <c r="Z56" s="116"/>
      <c r="AA56" s="145"/>
      <c r="AB56" s="146">
        <f>SUM(AB21:AB55)</f>
        <v>36665.100000000006</v>
      </c>
      <c r="AC56" s="147">
        <f>SUM(AC21:AC47)</f>
        <v>26056.310000000005</v>
      </c>
      <c r="AD56" s="148">
        <f>SUM(AD21:AD47)</f>
        <v>100</v>
      </c>
      <c r="AE56" s="149">
        <f>SUM(AE21:AE55)</f>
        <v>99.999999999999986</v>
      </c>
    </row>
    <row r="57" spans="1:31" ht="15.75" thickBot="1">
      <c r="A57" s="108" t="s">
        <v>39</v>
      </c>
      <c r="B57" s="225" t="s">
        <v>48</v>
      </c>
      <c r="C57" s="225"/>
      <c r="D57" s="225"/>
      <c r="E57" s="226"/>
      <c r="F57" s="188" t="s">
        <v>170</v>
      </c>
      <c r="G57" s="189"/>
      <c r="H57" s="190"/>
      <c r="I57" s="188" t="s">
        <v>171</v>
      </c>
      <c r="J57" s="189"/>
      <c r="K57" s="189"/>
      <c r="L57" s="190"/>
      <c r="T57">
        <v>37</v>
      </c>
      <c r="U57" s="140">
        <v>81</v>
      </c>
      <c r="V57" s="138">
        <v>1133.0999999999999</v>
      </c>
      <c r="W57" s="139"/>
      <c r="X57" s="119"/>
      <c r="Y57" s="144">
        <f>V57*100/V68</f>
        <v>2.2339247026806106</v>
      </c>
      <c r="Z57" s="116"/>
    </row>
    <row r="58" spans="1:31">
      <c r="A58" s="69"/>
      <c r="B58" s="69"/>
      <c r="C58" s="69"/>
      <c r="D58" s="69"/>
      <c r="E58" s="69"/>
      <c r="F58" s="69"/>
      <c r="G58" s="69"/>
      <c r="H58" s="69"/>
      <c r="I58" s="69"/>
      <c r="J58" s="69"/>
      <c r="K58" s="69"/>
      <c r="L58" s="69"/>
      <c r="T58">
        <v>38</v>
      </c>
      <c r="U58" s="140">
        <v>74</v>
      </c>
      <c r="V58" s="138">
        <v>1129.2</v>
      </c>
      <c r="W58" s="139"/>
      <c r="X58" s="119"/>
      <c r="Y58" s="144">
        <f>V58*100/V68</f>
        <v>2.2262357905453585</v>
      </c>
    </row>
    <row r="59" spans="1:31">
      <c r="A59" s="109" t="s">
        <v>52</v>
      </c>
      <c r="B59" s="179">
        <v>2014</v>
      </c>
      <c r="C59" s="69" t="s">
        <v>53</v>
      </c>
      <c r="D59" s="69"/>
      <c r="E59" s="69"/>
      <c r="F59" s="69"/>
      <c r="G59" s="69"/>
      <c r="H59" s="69"/>
      <c r="I59" s="69"/>
      <c r="J59" s="69"/>
      <c r="K59" s="69"/>
      <c r="L59" s="69"/>
      <c r="T59">
        <v>39</v>
      </c>
      <c r="U59" s="140">
        <v>75</v>
      </c>
      <c r="V59" s="138">
        <v>1130.3</v>
      </c>
      <c r="W59" s="139"/>
      <c r="X59" s="119"/>
      <c r="Y59" s="144">
        <f>V59*100/V68</f>
        <v>2.2284044580706861</v>
      </c>
    </row>
    <row r="60" spans="1:31">
      <c r="A60" s="180" t="s">
        <v>216</v>
      </c>
      <c r="B60" s="69"/>
      <c r="C60" s="69"/>
      <c r="D60" s="69"/>
      <c r="E60" s="69"/>
      <c r="F60" s="69"/>
      <c r="G60" s="69"/>
      <c r="H60" s="69"/>
      <c r="I60" s="69"/>
      <c r="J60" s="69"/>
      <c r="K60" s="69"/>
      <c r="L60" s="69"/>
      <c r="T60">
        <v>40</v>
      </c>
      <c r="U60" s="140">
        <v>89</v>
      </c>
      <c r="V60" s="138">
        <v>1133.3</v>
      </c>
      <c r="W60" s="139"/>
      <c r="X60" s="119"/>
      <c r="Y60" s="144">
        <f>V60*100/V68</f>
        <v>2.2343190058670341</v>
      </c>
    </row>
    <row r="61" spans="1:31">
      <c r="A61" s="180" t="s">
        <v>50</v>
      </c>
      <c r="B61" s="69"/>
      <c r="C61" s="69"/>
      <c r="D61" s="69"/>
      <c r="E61" s="69"/>
      <c r="F61" s="80">
        <f>H81</f>
        <v>0</v>
      </c>
      <c r="G61" s="69" t="s">
        <v>51</v>
      </c>
      <c r="H61" s="69"/>
      <c r="I61" s="69"/>
      <c r="J61" s="69"/>
      <c r="K61" s="69"/>
      <c r="L61" s="69"/>
      <c r="T61">
        <v>41</v>
      </c>
      <c r="U61" s="140">
        <v>88</v>
      </c>
      <c r="V61" s="138">
        <v>1133.9000000000001</v>
      </c>
      <c r="W61" s="139"/>
      <c r="X61" s="119"/>
      <c r="Y61" s="144">
        <f>V61*100/V68</f>
        <v>2.2355019154263038</v>
      </c>
    </row>
    <row r="62" spans="1:31">
      <c r="A62" s="180" t="s">
        <v>100</v>
      </c>
      <c r="B62" s="69"/>
      <c r="C62" s="69"/>
      <c r="D62" s="69"/>
      <c r="E62" s="69"/>
      <c r="F62" s="69"/>
      <c r="G62" s="69"/>
      <c r="H62" s="69"/>
      <c r="I62" s="69"/>
      <c r="J62" s="69"/>
      <c r="K62" s="69"/>
      <c r="L62" s="69"/>
      <c r="T62">
        <v>42</v>
      </c>
      <c r="U62" s="140">
        <v>97</v>
      </c>
      <c r="V62" s="138">
        <v>1133.9000000000001</v>
      </c>
      <c r="W62" s="139"/>
      <c r="X62" s="119"/>
      <c r="Y62" s="144">
        <f>V62*100/V68</f>
        <v>2.2355019154263038</v>
      </c>
    </row>
    <row r="63" spans="1:31">
      <c r="A63" s="180" t="s">
        <v>154</v>
      </c>
      <c r="B63" s="69"/>
      <c r="C63" s="69"/>
      <c r="D63" s="69"/>
      <c r="E63" s="69"/>
      <c r="F63" s="69"/>
      <c r="G63" s="69"/>
      <c r="H63" s="69"/>
      <c r="I63" s="69"/>
      <c r="J63" s="69"/>
      <c r="K63" s="69"/>
      <c r="L63" s="69"/>
      <c r="T63">
        <v>43</v>
      </c>
      <c r="U63" s="140">
        <v>96</v>
      </c>
      <c r="V63" s="138">
        <v>1127.5999999999999</v>
      </c>
      <c r="W63" s="139"/>
      <c r="X63" s="119"/>
      <c r="Y63" s="144">
        <f>V63*100/V68</f>
        <v>2.2230813650539725</v>
      </c>
    </row>
    <row r="64" spans="1:31">
      <c r="A64" s="180" t="s">
        <v>101</v>
      </c>
      <c r="B64" s="69"/>
      <c r="C64" s="69"/>
      <c r="D64" s="69"/>
      <c r="E64" s="69"/>
      <c r="F64" s="69"/>
      <c r="G64" s="69"/>
      <c r="H64" s="69"/>
      <c r="I64" s="69"/>
      <c r="J64" s="69"/>
      <c r="K64" s="69"/>
      <c r="L64" s="69"/>
      <c r="T64">
        <v>44</v>
      </c>
      <c r="U64" s="140">
        <v>126</v>
      </c>
      <c r="V64" s="138">
        <v>1127.0999999999999</v>
      </c>
      <c r="W64" s="139"/>
      <c r="X64" s="119"/>
      <c r="Y64" s="144">
        <f>V64*100/V68</f>
        <v>2.2220956070879145</v>
      </c>
    </row>
    <row r="65" spans="1:25">
      <c r="A65" s="180" t="s">
        <v>155</v>
      </c>
      <c r="B65" s="69"/>
      <c r="C65" s="69"/>
      <c r="D65" s="69"/>
      <c r="E65" s="69"/>
      <c r="F65" s="69"/>
      <c r="G65" s="69"/>
      <c r="H65" s="69"/>
      <c r="I65" s="69"/>
      <c r="J65" s="69"/>
      <c r="K65" s="69"/>
      <c r="L65" s="69"/>
      <c r="T65">
        <v>45</v>
      </c>
      <c r="U65" s="140">
        <v>104</v>
      </c>
      <c r="V65" s="138">
        <v>1128.2</v>
      </c>
      <c r="W65" s="139"/>
      <c r="X65" s="119"/>
      <c r="Y65" s="144">
        <f>V65*100/V68</f>
        <v>2.2242642746132426</v>
      </c>
    </row>
    <row r="66" spans="1:25">
      <c r="A66" s="180" t="s">
        <v>156</v>
      </c>
      <c r="B66" s="69"/>
      <c r="C66" s="69"/>
      <c r="D66" s="69"/>
      <c r="E66" s="69"/>
      <c r="F66" s="69"/>
      <c r="G66" s="69"/>
      <c r="H66" s="69"/>
      <c r="I66" s="69"/>
      <c r="J66" s="69"/>
      <c r="K66" s="69"/>
      <c r="L66" s="69"/>
      <c r="T66">
        <v>46</v>
      </c>
      <c r="U66" s="140">
        <v>125</v>
      </c>
      <c r="V66" s="138">
        <v>1138</v>
      </c>
      <c r="W66" s="139"/>
      <c r="X66" s="119"/>
      <c r="Y66" s="144">
        <f>V66*100/V68</f>
        <v>2.2435851307479791</v>
      </c>
    </row>
    <row r="67" spans="1:25">
      <c r="A67" s="183"/>
      <c r="B67" s="183"/>
      <c r="C67" s="183"/>
      <c r="D67" s="183"/>
      <c r="E67" s="183"/>
      <c r="F67" s="183"/>
      <c r="G67" s="183"/>
      <c r="H67" s="183"/>
      <c r="I67" s="183"/>
      <c r="J67" s="183"/>
      <c r="K67" s="183"/>
      <c r="L67" s="183"/>
      <c r="T67">
        <v>47</v>
      </c>
      <c r="U67" s="140">
        <v>127</v>
      </c>
      <c r="V67" s="138">
        <v>1130.5</v>
      </c>
      <c r="W67" s="139"/>
      <c r="X67" s="119"/>
      <c r="Y67" s="144">
        <f>V67*100/V68</f>
        <v>2.2287987612571092</v>
      </c>
    </row>
    <row r="68" spans="1:25" ht="15.75" thickBot="1">
      <c r="A68" s="171"/>
      <c r="B68" s="33"/>
      <c r="C68" s="33"/>
      <c r="D68" s="33"/>
      <c r="E68" s="33"/>
      <c r="F68" s="33"/>
      <c r="G68" s="33"/>
      <c r="H68" s="33"/>
      <c r="I68" s="33"/>
      <c r="J68" s="33"/>
      <c r="K68" s="33"/>
      <c r="U68" s="145"/>
      <c r="V68" s="146">
        <f>SUM(V21:V67)</f>
        <v>50722.390000000007</v>
      </c>
      <c r="W68" s="147">
        <f>SUM(W21:W47)</f>
        <v>26056.310000000005</v>
      </c>
      <c r="X68" s="148">
        <f>SUM(X21:X47)</f>
        <v>100</v>
      </c>
      <c r="Y68" s="149">
        <f>SUM(Y21:Y67)</f>
        <v>99.999999999999957</v>
      </c>
    </row>
    <row r="69" spans="1:25">
      <c r="A69" s="172" t="s">
        <v>54</v>
      </c>
      <c r="B69" s="170">
        <f>I3+1</f>
        <v>2016</v>
      </c>
      <c r="C69" t="s">
        <v>55</v>
      </c>
    </row>
    <row r="70" spans="1:25">
      <c r="A70" s="172" t="s">
        <v>56</v>
      </c>
    </row>
    <row r="71" spans="1:25">
      <c r="A71" s="172" t="s">
        <v>57</v>
      </c>
      <c r="J71" s="34">
        <v>15000</v>
      </c>
      <c r="K71" t="s">
        <v>10</v>
      </c>
    </row>
    <row r="72" spans="1:25">
      <c r="A72" s="275" t="s">
        <v>81</v>
      </c>
      <c r="B72" s="275"/>
      <c r="C72" s="275"/>
      <c r="D72" s="275"/>
      <c r="E72" s="275"/>
      <c r="J72" s="34">
        <v>10000</v>
      </c>
      <c r="K72" t="s">
        <v>10</v>
      </c>
    </row>
    <row r="73" spans="1:25">
      <c r="A73" s="172" t="s">
        <v>58</v>
      </c>
      <c r="J73" s="34">
        <v>1500</v>
      </c>
      <c r="K73" t="s">
        <v>10</v>
      </c>
    </row>
    <row r="74" spans="1:25">
      <c r="A74" s="172" t="s">
        <v>79</v>
      </c>
      <c r="J74" s="34">
        <v>15000</v>
      </c>
      <c r="K74" t="s">
        <v>10</v>
      </c>
    </row>
    <row r="75" spans="1:25">
      <c r="A75" s="172" t="s">
        <v>59</v>
      </c>
      <c r="J75" s="34">
        <v>8000</v>
      </c>
      <c r="K75" t="s">
        <v>10</v>
      </c>
    </row>
    <row r="76" spans="1:25">
      <c r="A76" s="172" t="s">
        <v>60</v>
      </c>
      <c r="J76" s="34">
        <v>8000</v>
      </c>
      <c r="K76" t="s">
        <v>10</v>
      </c>
    </row>
    <row r="77" spans="1:25">
      <c r="A77" s="27" t="s">
        <v>61</v>
      </c>
      <c r="J77" s="35">
        <f>SUM(J71:J76)</f>
        <v>57500</v>
      </c>
      <c r="K77" s="28" t="s">
        <v>62</v>
      </c>
    </row>
    <row r="78" spans="1:25">
      <c r="A78" s="172" t="s">
        <v>63</v>
      </c>
      <c r="H78" s="170">
        <f>I3</f>
        <v>2015</v>
      </c>
      <c r="I78" t="s">
        <v>71</v>
      </c>
      <c r="K78" s="6">
        <f>G48</f>
        <v>-56590.840883647987</v>
      </c>
    </row>
    <row r="79" spans="1:25">
      <c r="A79" s="172" t="s">
        <v>64</v>
      </c>
      <c r="C79" s="22">
        <f>J77+K78</f>
        <v>909.15911635201337</v>
      </c>
      <c r="D79" s="170" t="s">
        <v>65</v>
      </c>
      <c r="E79" s="29">
        <f>I3+1</f>
        <v>2016</v>
      </c>
      <c r="F79" t="s">
        <v>67</v>
      </c>
      <c r="H79" s="7">
        <f>C79/(E5*12)</f>
        <v>6.6816526762502076E-2</v>
      </c>
      <c r="I79" t="s">
        <v>68</v>
      </c>
    </row>
    <row r="81" spans="1:12">
      <c r="B81" t="s">
        <v>69</v>
      </c>
    </row>
    <row r="82" spans="1:12">
      <c r="B82" t="s">
        <v>41</v>
      </c>
      <c r="I82" t="s">
        <v>70</v>
      </c>
    </row>
    <row r="84" spans="1:12">
      <c r="A84" s="236"/>
      <c r="B84" s="236"/>
      <c r="C84" s="236"/>
      <c r="D84" s="236"/>
      <c r="E84" s="236"/>
      <c r="F84" s="236"/>
      <c r="G84" s="236"/>
      <c r="H84" s="236"/>
      <c r="I84" s="236"/>
      <c r="J84" s="236"/>
      <c r="K84" s="236"/>
    </row>
    <row r="92" spans="1:12">
      <c r="L92" s="32" t="s">
        <v>80</v>
      </c>
    </row>
  </sheetData>
  <mergeCells count="82">
    <mergeCell ref="A67:L67"/>
    <mergeCell ref="A72:E72"/>
    <mergeCell ref="A84:K84"/>
    <mergeCell ref="B57:E57"/>
    <mergeCell ref="F57:H57"/>
    <mergeCell ref="I57:L57"/>
    <mergeCell ref="B55:E55"/>
    <mergeCell ref="F55:H55"/>
    <mergeCell ref="I55:L55"/>
    <mergeCell ref="B56:E56"/>
    <mergeCell ref="F56:H56"/>
    <mergeCell ref="I56:L56"/>
    <mergeCell ref="B53:E53"/>
    <mergeCell ref="F53:H53"/>
    <mergeCell ref="I53:L53"/>
    <mergeCell ref="B54:E54"/>
    <mergeCell ref="F54:H54"/>
    <mergeCell ref="I54:L54"/>
    <mergeCell ref="B51:E51"/>
    <mergeCell ref="F51:H51"/>
    <mergeCell ref="I51:L51"/>
    <mergeCell ref="B52:E52"/>
    <mergeCell ref="F52:H52"/>
    <mergeCell ref="I52:L52"/>
    <mergeCell ref="K45:L45"/>
    <mergeCell ref="K46:L46"/>
    <mergeCell ref="B50:E50"/>
    <mergeCell ref="F50:H50"/>
    <mergeCell ref="I50:L50"/>
    <mergeCell ref="B42:H42"/>
    <mergeCell ref="K42:L42"/>
    <mergeCell ref="B43:H43"/>
    <mergeCell ref="K43:L43"/>
    <mergeCell ref="B44:H44"/>
    <mergeCell ref="K44:L44"/>
    <mergeCell ref="B39:H39"/>
    <mergeCell ref="K39:L39"/>
    <mergeCell ref="B40:H40"/>
    <mergeCell ref="K40:L40"/>
    <mergeCell ref="B41:H41"/>
    <mergeCell ref="K41:L41"/>
    <mergeCell ref="B36:H36"/>
    <mergeCell ref="K36:L36"/>
    <mergeCell ref="B37:H37"/>
    <mergeCell ref="K37:L37"/>
    <mergeCell ref="B38:H38"/>
    <mergeCell ref="K38:L38"/>
    <mergeCell ref="B33:H33"/>
    <mergeCell ref="K33:L33"/>
    <mergeCell ref="B34:H34"/>
    <mergeCell ref="K34:L34"/>
    <mergeCell ref="B35:H35"/>
    <mergeCell ref="K35:L35"/>
    <mergeCell ref="B30:H30"/>
    <mergeCell ref="K30:L30"/>
    <mergeCell ref="B31:H31"/>
    <mergeCell ref="K31:L31"/>
    <mergeCell ref="B32:H32"/>
    <mergeCell ref="K32:L32"/>
    <mergeCell ref="B27:H27"/>
    <mergeCell ref="K27:L27"/>
    <mergeCell ref="B28:H28"/>
    <mergeCell ref="K28:L28"/>
    <mergeCell ref="B29:H29"/>
    <mergeCell ref="K29:L29"/>
    <mergeCell ref="B24:H24"/>
    <mergeCell ref="K24:L24"/>
    <mergeCell ref="B25:H25"/>
    <mergeCell ref="K25:L25"/>
    <mergeCell ref="B26:H26"/>
    <mergeCell ref="K26:L26"/>
    <mergeCell ref="B22:H22"/>
    <mergeCell ref="K22:L22"/>
    <mergeCell ref="B23:H23"/>
    <mergeCell ref="K23:L23"/>
    <mergeCell ref="B21:H21"/>
    <mergeCell ref="K21:L21"/>
    <mergeCell ref="A1:L1"/>
    <mergeCell ref="A2:L2"/>
    <mergeCell ref="A6:B6"/>
    <mergeCell ref="N9:P9"/>
    <mergeCell ref="A20:B20"/>
  </mergeCells>
  <pageMargins left="0.16" right="0.11" top="0.75" bottom="0.75" header="0.3" footer="0.3"/>
  <pageSetup paperSize="9" orientation="portrait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2013</vt:lpstr>
      <vt:lpstr>2014</vt:lpstr>
      <vt:lpstr>2015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2015-03-27T12:22:22Z</dcterms:modified>
</cp:coreProperties>
</file>