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2"/>
  </bookViews>
  <sheets>
    <sheet name="2012" sheetId="1" r:id="rId1"/>
    <sheet name="2013" sheetId="2" r:id="rId2"/>
    <sheet name="2014" sheetId="3" r:id="rId3"/>
    <sheet name="2015" sheetId="4" r:id="rId4"/>
  </sheets>
  <calcPr calcId="125725"/>
</workbook>
</file>

<file path=xl/calcChain.xml><?xml version="1.0" encoding="utf-8"?>
<calcChain xmlns="http://schemas.openxmlformats.org/spreadsheetml/2006/main">
  <c r="E84" i="4"/>
  <c r="H83"/>
  <c r="J82"/>
  <c r="B70"/>
  <c r="V68"/>
  <c r="X66" s="1"/>
  <c r="U68"/>
  <c r="X67"/>
  <c r="V67"/>
  <c r="X65"/>
  <c r="X63"/>
  <c r="X62"/>
  <c r="B61"/>
  <c r="X59"/>
  <c r="X57"/>
  <c r="AB55"/>
  <c r="AC45" s="1"/>
  <c r="AA55"/>
  <c r="X55"/>
  <c r="AD54"/>
  <c r="X54"/>
  <c r="AD53"/>
  <c r="X53"/>
  <c r="AD52"/>
  <c r="X52"/>
  <c r="AD51"/>
  <c r="X51"/>
  <c r="AD50"/>
  <c r="X50"/>
  <c r="B50"/>
  <c r="AD49"/>
  <c r="X49"/>
  <c r="D49"/>
  <c r="AD48"/>
  <c r="X48"/>
  <c r="AD47"/>
  <c r="X47"/>
  <c r="AD46"/>
  <c r="AC46"/>
  <c r="X46"/>
  <c r="W46"/>
  <c r="AD45"/>
  <c r="X45"/>
  <c r="W45"/>
  <c r="AD44"/>
  <c r="AC44"/>
  <c r="X44"/>
  <c r="W44"/>
  <c r="AD43"/>
  <c r="AC43"/>
  <c r="X43"/>
  <c r="W43"/>
  <c r="AD42"/>
  <c r="AC42"/>
  <c r="X42"/>
  <c r="W42"/>
  <c r="AD41"/>
  <c r="AC41"/>
  <c r="X41"/>
  <c r="W41"/>
  <c r="AD40"/>
  <c r="AC40"/>
  <c r="X40"/>
  <c r="W40"/>
  <c r="AD39"/>
  <c r="AC39"/>
  <c r="X39"/>
  <c r="W39"/>
  <c r="AD38"/>
  <c r="AC38"/>
  <c r="X38"/>
  <c r="W38"/>
  <c r="AD37"/>
  <c r="AC37"/>
  <c r="X37"/>
  <c r="W37"/>
  <c r="AD36"/>
  <c r="AC36"/>
  <c r="X36"/>
  <c r="W36"/>
  <c r="AD35"/>
  <c r="AC35"/>
  <c r="X35"/>
  <c r="W35"/>
  <c r="AD34"/>
  <c r="AC34"/>
  <c r="X34"/>
  <c r="W34"/>
  <c r="AD33"/>
  <c r="AC33"/>
  <c r="X33"/>
  <c r="W33"/>
  <c r="AD32"/>
  <c r="AC32"/>
  <c r="X32"/>
  <c r="W32"/>
  <c r="AD31"/>
  <c r="AC31"/>
  <c r="X31"/>
  <c r="W31"/>
  <c r="AD30"/>
  <c r="AC30"/>
  <c r="X30"/>
  <c r="W30"/>
  <c r="AD29"/>
  <c r="AC29"/>
  <c r="X29"/>
  <c r="W29"/>
  <c r="AD28"/>
  <c r="AC28"/>
  <c r="X28"/>
  <c r="W28"/>
  <c r="A28"/>
  <c r="A29" s="1"/>
  <c r="A30" s="1"/>
  <c r="A31" s="1"/>
  <c r="A32" s="1"/>
  <c r="A33" s="1"/>
  <c r="AD27"/>
  <c r="AC27"/>
  <c r="X27"/>
  <c r="W27"/>
  <c r="A27"/>
  <c r="AD26"/>
  <c r="AC26"/>
  <c r="X26"/>
  <c r="W26"/>
  <c r="AD25"/>
  <c r="AC25"/>
  <c r="X25"/>
  <c r="W25"/>
  <c r="K44"/>
  <c r="AD24"/>
  <c r="AC24"/>
  <c r="X24"/>
  <c r="W24"/>
  <c r="AD23"/>
  <c r="AC23"/>
  <c r="X23"/>
  <c r="W23"/>
  <c r="K23"/>
  <c r="AD22"/>
  <c r="AC22"/>
  <c r="X22"/>
  <c r="W22"/>
  <c r="AD21"/>
  <c r="AD55" s="1"/>
  <c r="AC21"/>
  <c r="AC55" s="1"/>
  <c r="X21"/>
  <c r="W21"/>
  <c r="W67" s="1"/>
  <c r="G19"/>
  <c r="A20" s="1"/>
  <c r="AA18"/>
  <c r="W18"/>
  <c r="X17" s="1"/>
  <c r="AE17"/>
  <c r="AB17"/>
  <c r="P17"/>
  <c r="Q16" s="1"/>
  <c r="G17"/>
  <c r="AF16"/>
  <c r="AB16"/>
  <c r="X16"/>
  <c r="G16"/>
  <c r="AF15"/>
  <c r="AB15"/>
  <c r="Q15"/>
  <c r="G15"/>
  <c r="AF14"/>
  <c r="AB14"/>
  <c r="X14"/>
  <c r="G14"/>
  <c r="J13"/>
  <c r="AE12"/>
  <c r="AA12"/>
  <c r="AB10" s="1"/>
  <c r="W12"/>
  <c r="T12"/>
  <c r="Q12"/>
  <c r="AF11"/>
  <c r="AB11"/>
  <c r="X11"/>
  <c r="U11"/>
  <c r="AF10"/>
  <c r="X10"/>
  <c r="U10"/>
  <c r="Q10"/>
  <c r="AF9"/>
  <c r="AB9"/>
  <c r="X9"/>
  <c r="U9"/>
  <c r="AF8"/>
  <c r="X8"/>
  <c r="U8"/>
  <c r="Q8"/>
  <c r="U7"/>
  <c r="AE6"/>
  <c r="AF4" s="1"/>
  <c r="AA6"/>
  <c r="W6"/>
  <c r="X4" s="1"/>
  <c r="U6"/>
  <c r="I6"/>
  <c r="G6"/>
  <c r="AF5"/>
  <c r="AB5"/>
  <c r="X5"/>
  <c r="U5"/>
  <c r="B5"/>
  <c r="AB4"/>
  <c r="U4"/>
  <c r="AB3"/>
  <c r="U3"/>
  <c r="AB2"/>
  <c r="U2"/>
  <c r="U12" s="1"/>
  <c r="K45" l="1"/>
  <c r="K46" s="1"/>
  <c r="K47" s="1"/>
  <c r="G49" s="1"/>
  <c r="K83" s="1"/>
  <c r="C84" s="1"/>
  <c r="H84" s="1"/>
  <c r="F63" s="1"/>
  <c r="X2"/>
  <c r="AF2"/>
  <c r="X3"/>
  <c r="AF3"/>
  <c r="AB8"/>
  <c r="Q9"/>
  <c r="Q11"/>
  <c r="Q13"/>
  <c r="Q14"/>
  <c r="X15"/>
  <c r="X56"/>
  <c r="Y68" s="1"/>
  <c r="X58"/>
  <c r="X60"/>
  <c r="X61"/>
  <c r="X64"/>
  <c r="K43" i="3" l="1"/>
  <c r="G19" l="1"/>
  <c r="K42"/>
  <c r="K41" l="1"/>
  <c r="K40" l="1"/>
  <c r="K39"/>
  <c r="K38" l="1"/>
  <c r="K37"/>
  <c r="K35" l="1"/>
  <c r="K32" l="1"/>
  <c r="K31" l="1"/>
  <c r="K30" l="1"/>
  <c r="K29"/>
  <c r="E81" l="1"/>
  <c r="H80"/>
  <c r="J79"/>
  <c r="K26"/>
  <c r="K25"/>
  <c r="K28" l="1"/>
  <c r="K44" s="1"/>
  <c r="K45" l="1"/>
  <c r="K46"/>
  <c r="Q19" i="2" l="1"/>
  <c r="Q18"/>
  <c r="Q17"/>
  <c r="Q15"/>
  <c r="Q14"/>
  <c r="Q13"/>
  <c r="Q12"/>
  <c r="P20"/>
  <c r="Q16"/>
  <c r="AC56"/>
  <c r="AB56"/>
  <c r="AE55" s="1"/>
  <c r="AE54"/>
  <c r="AE53"/>
  <c r="AE52"/>
  <c r="AE50"/>
  <c r="AE49"/>
  <c r="AE48"/>
  <c r="W48"/>
  <c r="V48"/>
  <c r="Y47" s="1"/>
  <c r="AD47"/>
  <c r="X47"/>
  <c r="AD46"/>
  <c r="Y46"/>
  <c r="X46"/>
  <c r="AD45"/>
  <c r="Y45"/>
  <c r="X45"/>
  <c r="AD44"/>
  <c r="Y44"/>
  <c r="X44"/>
  <c r="AD43"/>
  <c r="Y43"/>
  <c r="X43"/>
  <c r="AD42"/>
  <c r="Y42"/>
  <c r="X42"/>
  <c r="AD41"/>
  <c r="Y41"/>
  <c r="X41"/>
  <c r="AD40"/>
  <c r="Y40"/>
  <c r="X40"/>
  <c r="AD39"/>
  <c r="Y39"/>
  <c r="X39"/>
  <c r="AD38"/>
  <c r="Y38"/>
  <c r="X38"/>
  <c r="AD37"/>
  <c r="Y37"/>
  <c r="X37"/>
  <c r="AD36"/>
  <c r="Y36"/>
  <c r="X36"/>
  <c r="AE35"/>
  <c r="AD35"/>
  <c r="Y35"/>
  <c r="X35"/>
  <c r="AE34"/>
  <c r="AD34"/>
  <c r="Y34"/>
  <c r="X34"/>
  <c r="AE33"/>
  <c r="AD33"/>
  <c r="Y33"/>
  <c r="X33"/>
  <c r="AE32"/>
  <c r="AD32"/>
  <c r="Y32"/>
  <c r="X32"/>
  <c r="AE31"/>
  <c r="AD31"/>
  <c r="Y31"/>
  <c r="X31"/>
  <c r="AE30"/>
  <c r="AD30"/>
  <c r="Y30"/>
  <c r="X30"/>
  <c r="AE29"/>
  <c r="AD29"/>
  <c r="Y29"/>
  <c r="X29"/>
  <c r="AE28"/>
  <c r="AD28"/>
  <c r="Y28"/>
  <c r="X28"/>
  <c r="AE27"/>
  <c r="AD27"/>
  <c r="Y27"/>
  <c r="X27"/>
  <c r="AE26"/>
  <c r="AD26"/>
  <c r="Y26"/>
  <c r="X26"/>
  <c r="AE25"/>
  <c r="AD25"/>
  <c r="Y25"/>
  <c r="X25"/>
  <c r="AE24"/>
  <c r="AD24"/>
  <c r="Y24"/>
  <c r="X24"/>
  <c r="AE23"/>
  <c r="AD23"/>
  <c r="Y23"/>
  <c r="X23"/>
  <c r="AE22"/>
  <c r="AD22"/>
  <c r="Y22"/>
  <c r="X22"/>
  <c r="AE21"/>
  <c r="AD21"/>
  <c r="AD56" s="1"/>
  <c r="Y21"/>
  <c r="X21"/>
  <c r="X48" s="1"/>
  <c r="Z18"/>
  <c r="V18"/>
  <c r="W17" s="1"/>
  <c r="AD17"/>
  <c r="AE16" s="1"/>
  <c r="AA17"/>
  <c r="AA16"/>
  <c r="AA15"/>
  <c r="W15"/>
  <c r="AA14"/>
  <c r="W14"/>
  <c r="AD12"/>
  <c r="AE10" s="1"/>
  <c r="Z12"/>
  <c r="AA9" s="1"/>
  <c r="V12"/>
  <c r="AE11"/>
  <c r="AA11"/>
  <c r="W11"/>
  <c r="AA10"/>
  <c r="W10"/>
  <c r="W9"/>
  <c r="AE8"/>
  <c r="AA8"/>
  <c r="W8"/>
  <c r="AD6"/>
  <c r="AE5" s="1"/>
  <c r="Z6"/>
  <c r="AA4" s="1"/>
  <c r="V6"/>
  <c r="W3" s="1"/>
  <c r="AA5"/>
  <c r="W5"/>
  <c r="W4"/>
  <c r="AE3"/>
  <c r="AE2"/>
  <c r="AA2"/>
  <c r="W2"/>
  <c r="Y48" l="1"/>
  <c r="AA3"/>
  <c r="AE4"/>
  <c r="AE9"/>
  <c r="AE14"/>
  <c r="W16"/>
  <c r="AE15"/>
  <c r="AE36"/>
  <c r="AE56" s="1"/>
  <c r="AE37"/>
  <c r="AE38"/>
  <c r="AE39"/>
  <c r="AE40"/>
  <c r="AE41"/>
  <c r="AE42"/>
  <c r="AE43"/>
  <c r="AE44"/>
  <c r="AE45"/>
  <c r="AE46"/>
  <c r="AE47"/>
  <c r="AE51"/>
  <c r="K39" l="1"/>
  <c r="K32"/>
  <c r="J32"/>
  <c r="K27"/>
  <c r="K26"/>
  <c r="J79"/>
  <c r="H80"/>
  <c r="E81"/>
  <c r="K35" l="1"/>
  <c r="K41" l="1"/>
  <c r="K40" l="1"/>
  <c r="K37"/>
  <c r="K36"/>
  <c r="Q9" l="1"/>
  <c r="G19" s="1"/>
  <c r="K38" l="1"/>
  <c r="B67" i="3" l="1"/>
  <c r="B60"/>
  <c r="B50"/>
  <c r="D49"/>
  <c r="G17"/>
  <c r="G16"/>
  <c r="G15"/>
  <c r="G14"/>
  <c r="G7"/>
  <c r="I7" s="1"/>
  <c r="A20" s="1"/>
  <c r="B6"/>
  <c r="K30" i="2"/>
  <c r="J13" i="3" l="1"/>
  <c r="AR27" i="2" l="1"/>
  <c r="K40" i="1" l="1"/>
  <c r="K39"/>
  <c r="K38"/>
  <c r="K37"/>
  <c r="K36"/>
  <c r="K35"/>
  <c r="K34"/>
  <c r="K56"/>
  <c r="K55"/>
  <c r="J95" l="1"/>
  <c r="K52" l="1"/>
  <c r="K44" l="1"/>
  <c r="K43"/>
  <c r="F76" l="1"/>
  <c r="K34" i="2"/>
  <c r="K31"/>
  <c r="K42" l="1"/>
  <c r="K54" i="1"/>
  <c r="K53"/>
  <c r="K50"/>
  <c r="K51"/>
  <c r="K48"/>
  <c r="K47"/>
  <c r="K46"/>
  <c r="K45"/>
  <c r="AH132" l="1"/>
  <c r="AH131"/>
  <c r="AH130"/>
  <c r="AH129"/>
  <c r="AH128"/>
  <c r="AH127"/>
  <c r="AH126"/>
  <c r="AH125"/>
  <c r="AH124"/>
  <c r="AH123"/>
  <c r="AH122"/>
  <c r="AH121"/>
  <c r="AH120"/>
  <c r="AH119"/>
  <c r="AH118"/>
  <c r="AH117"/>
  <c r="AH116"/>
  <c r="AH115"/>
  <c r="AH114"/>
  <c r="AH113"/>
  <c r="AH112"/>
  <c r="AH111"/>
  <c r="AH110"/>
  <c r="AH109"/>
  <c r="AH108"/>
  <c r="AH107"/>
  <c r="AH106"/>
  <c r="AH105"/>
  <c r="AH104"/>
  <c r="AH103"/>
  <c r="AH133" l="1"/>
  <c r="AH134" s="1"/>
  <c r="K32" l="1"/>
  <c r="K25"/>
  <c r="K26"/>
  <c r="K27"/>
  <c r="A25"/>
  <c r="A26" s="1"/>
  <c r="A27" s="1"/>
  <c r="A28" s="1"/>
  <c r="A29" s="1"/>
  <c r="A30" s="1"/>
  <c r="A31" s="1"/>
  <c r="A32" l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K57"/>
  <c r="B67" i="2"/>
  <c r="B58"/>
  <c r="B48"/>
  <c r="D47"/>
  <c r="G17"/>
  <c r="G16"/>
  <c r="G15"/>
  <c r="G14"/>
  <c r="G7"/>
  <c r="I7" s="1"/>
  <c r="B6"/>
  <c r="K43" l="1"/>
  <c r="K44" s="1"/>
  <c r="J13"/>
  <c r="A20"/>
  <c r="K58" i="1" l="1"/>
  <c r="K59" l="1"/>
  <c r="J14" l="1"/>
  <c r="J9" s="1"/>
  <c r="G8" s="1"/>
  <c r="I8" s="1"/>
  <c r="B62"/>
  <c r="A21" l="1"/>
  <c r="G61"/>
  <c r="K23" i="2" s="1"/>
  <c r="K45" l="1"/>
  <c r="G47" s="1"/>
  <c r="K80" s="1"/>
  <c r="C81" s="1"/>
  <c r="H81" s="1"/>
  <c r="A49" i="1"/>
  <c r="A50" s="1"/>
  <c r="A51" s="1"/>
  <c r="A52" s="1"/>
  <c r="A53" s="1"/>
  <c r="A54" s="1"/>
  <c r="A55" s="1"/>
  <c r="A56" s="1"/>
  <c r="K96"/>
  <c r="F60" i="2" l="1"/>
  <c r="K47" i="3"/>
  <c r="G49" s="1"/>
  <c r="C97" i="1"/>
  <c r="H97" s="1"/>
  <c r="K80" i="3" l="1"/>
  <c r="C81" s="1"/>
  <c r="H81" s="1"/>
  <c r="F62" s="1"/>
</calcChain>
</file>

<file path=xl/sharedStrings.xml><?xml version="1.0" encoding="utf-8"?>
<sst xmlns="http://schemas.openxmlformats.org/spreadsheetml/2006/main" count="797" uniqueCount="341">
  <si>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</si>
  <si>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</si>
  <si>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</si>
  <si>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</si>
  <si>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</si>
  <si>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</si>
  <si>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</si>
  <si>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</si>
  <si>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</si>
  <si>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</si>
  <si>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</si>
  <si>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</si>
  <si>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</si>
  <si>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</si>
  <si>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</si>
  <si>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</si>
  <si>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</si>
  <si>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</si>
  <si>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</si>
  <si>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</si>
  <si>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</si>
  <si>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Всего:</t>
  </si>
  <si>
    <t>ИТОГО: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</si>
  <si>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</si>
  <si>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</si>
  <si>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</si>
  <si>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</si>
  <si>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</si>
  <si>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</si>
  <si>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</si>
  <si>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</si>
  <si>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</si>
  <si>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</si>
  <si>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</si>
  <si>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</si>
  <si>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</si>
  <si>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</si>
  <si>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</si>
  <si>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</si>
  <si>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</si>
  <si>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7.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</si>
  <si>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</si>
  <si>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</si>
  <si>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</si>
  <si>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</si>
  <si>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</si>
  <si>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Содежание общедом. приборов учета.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</si>
  <si>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</si>
  <si>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</si>
  <si>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</si>
  <si>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</si>
  <si>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</si>
  <si>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>1,09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</si>
  <si>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</si>
  <si>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</si>
  <si>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</si>
  <si>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</si>
  <si>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</si>
  <si>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</si>
  <si>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</si>
  <si>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</si>
  <si>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</si>
  <si>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</si>
  <si>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</si>
  <si>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</si>
  <si>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</si>
  <si>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</si>
  <si>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</si>
  <si>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</si>
  <si>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</si>
  <si>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</si>
  <si>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</si>
  <si>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</si>
  <si>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</si>
  <si>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</si>
  <si>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</si>
  <si>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 2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</si>
  <si>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</si>
  <si>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16 -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</si>
  <si>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27 -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</si>
  <si>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22 -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</si>
  <si>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13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</si>
  <si>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t>25,10 руб./м²</t>
  </si>
  <si>
    <t>213,71 руб./чел.</t>
  </si>
  <si>
    <t>277,84 руб./чел.</t>
  </si>
  <si>
    <t>58,92 руб./чел.</t>
  </si>
  <si>
    <t>62,70 руб./чел.</t>
  </si>
  <si>
    <t>93,17 руб./чел.</t>
  </si>
  <si>
    <t>112,91 руб./чел.</t>
  </si>
  <si>
    <t xml:space="preserve">  -  передача наружных инженерных сетей</t>
  </si>
  <si>
    <t>П 33/4</t>
  </si>
  <si>
    <t xml:space="preserve">  -  чистка кровли от снега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</si>
  <si>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</si>
  <si>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</si>
  <si>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</si>
  <si>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</si>
  <si>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 xml:space="preserve"> ежемесячно равными долями, исходя из объемов потребления в 2012 году, с последующим перерасчетом в декабре 2013 г.,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</si>
  <si>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</si>
  <si>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</si>
  <si>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   рублей        (</t>
  </si>
  <si>
    <t xml:space="preserve"> - содержание общего имущества -      рубля с кв.метра общей площади в месяц;</t>
  </si>
  <si>
    <t xml:space="preserve">микрорайон   Березовый  за </t>
  </si>
  <si>
    <t>Управление МКД (12%)</t>
  </si>
  <si>
    <t>шт.</t>
  </si>
  <si>
    <t>( ОАО "Западное управление")</t>
  </si>
  <si>
    <t>107   (</t>
  </si>
  <si>
    <t>Номера на почтовые ящики (наклейки).</t>
  </si>
  <si>
    <t>мес.</t>
  </si>
  <si>
    <r>
      <t>м</t>
    </r>
    <r>
      <rPr>
        <sz val="11"/>
        <color theme="1"/>
        <rFont val="Calibri"/>
        <family val="2"/>
        <charset val="204"/>
      </rPr>
      <t>³</t>
    </r>
  </si>
  <si>
    <r>
      <t>9,74 руб./м</t>
    </r>
    <r>
      <rPr>
        <sz val="11"/>
        <color theme="1"/>
        <rFont val="Calibri"/>
        <family val="2"/>
        <charset val="204"/>
      </rPr>
      <t>²</t>
    </r>
  </si>
  <si>
    <t>9,74 руб./м²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</si>
  <si>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</si>
  <si>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r>
      <t>1,09 руб./м</t>
    </r>
    <r>
      <rPr>
        <sz val="11"/>
        <color theme="1"/>
        <rFont val="Calibri"/>
        <family val="2"/>
        <charset val="204"/>
      </rPr>
      <t>²</t>
    </r>
  </si>
  <si>
    <t>6.   В</t>
  </si>
  <si>
    <t>Доска для объявлений (при входе в подъезд).</t>
  </si>
  <si>
    <t>Счет № 1629 от 04.07.2012</t>
  </si>
  <si>
    <t>Акт выполненных работ от 26.06.2012г.</t>
  </si>
  <si>
    <t>Счет № А-00000867 от 04.06.2012 г.</t>
  </si>
  <si>
    <t>Акт № 20352 от 20.08.2012г.</t>
  </si>
  <si>
    <t xml:space="preserve">  Что  с  учетом  перерасхода (+)   или   экономии (-)  средств    в </t>
  </si>
  <si>
    <t>Акт выполненных работ от 10.09.2012г.</t>
  </si>
  <si>
    <r>
      <t>м</t>
    </r>
    <r>
      <rPr>
        <sz val="11"/>
        <color theme="1"/>
        <rFont val="Calibri"/>
        <family val="2"/>
        <charset val="204"/>
      </rPr>
      <t>²</t>
    </r>
  </si>
  <si>
    <t>Замена вводного автомата во ВРУ (в электрощитовой).</t>
  </si>
  <si>
    <t>Счет № 5053 от 31.08.2012</t>
  </si>
  <si>
    <t>площадь</t>
  </si>
  <si>
    <t>тариф</t>
  </si>
  <si>
    <t>МЕСЯЦА</t>
  </si>
  <si>
    <t xml:space="preserve"> - отопление - </t>
  </si>
  <si>
    <t>рубля с кв.метра или -</t>
  </si>
  <si>
    <r>
      <t>Гкал/м</t>
    </r>
    <r>
      <rPr>
        <sz val="11"/>
        <color theme="1"/>
        <rFont val="Calibri"/>
        <family val="2"/>
        <charset val="204"/>
      </rPr>
      <t>² (ежемесячно равными долями,</t>
    </r>
  </si>
  <si>
    <t>г.);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</si>
  <si>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</si>
  <si>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</si>
  <si>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      При этом в  2013 году вводится оплата за коммунальные услуги на общедомовые нужды.</t>
  </si>
  <si>
    <t xml:space="preserve"> - содержание общедомовых приборов учета -1,25 рубля с кв.метра в месяц;</t>
  </si>
  <si>
    <t xml:space="preserve"> - содержание общего имущества - 11,20 рубля с кв.метра общей площади в месяц;</t>
  </si>
  <si>
    <t>Кв. 1</t>
  </si>
  <si>
    <t>Кв. 2</t>
  </si>
  <si>
    <t>Кв. 3</t>
  </si>
  <si>
    <t>Кв. 4</t>
  </si>
  <si>
    <t>Кв. 5</t>
  </si>
  <si>
    <t>Кв. 6</t>
  </si>
  <si>
    <t>Кв. 7</t>
  </si>
  <si>
    <t>Кв. 8</t>
  </si>
  <si>
    <t>Кв. 9</t>
  </si>
  <si>
    <t>Кв. 10</t>
  </si>
  <si>
    <t>Кв. 11</t>
  </si>
  <si>
    <t>Кв. 12</t>
  </si>
  <si>
    <t>Кв. 13</t>
  </si>
  <si>
    <t>Кв. 14</t>
  </si>
  <si>
    <t>Кв. 15</t>
  </si>
  <si>
    <t>Кв. 16</t>
  </si>
  <si>
    <t>Кв. 17</t>
  </si>
  <si>
    <t>Кв. 18</t>
  </si>
  <si>
    <t>Кв. 19</t>
  </si>
  <si>
    <t>Кв. 20</t>
  </si>
  <si>
    <t>Кв. 21</t>
  </si>
  <si>
    <t>Кв. 22</t>
  </si>
  <si>
    <t>Кв. 23</t>
  </si>
  <si>
    <t>Кв. 24</t>
  </si>
  <si>
    <t>Кв. 25</t>
  </si>
  <si>
    <t>Кв. 26</t>
  </si>
  <si>
    <t>Кв. 27</t>
  </si>
  <si>
    <t>Кв. 28</t>
  </si>
  <si>
    <t>Кв. 29</t>
  </si>
  <si>
    <t>Кв. 30</t>
  </si>
  <si>
    <t>А</t>
  </si>
  <si>
    <t>с 2013 г.</t>
  </si>
  <si>
    <t>Счет № А-154 от 07.06.2012</t>
  </si>
  <si>
    <t>Счет № ЦН000003117 от 04.07.2012</t>
  </si>
  <si>
    <t>Счет № С-185 от 20.06.2012</t>
  </si>
  <si>
    <t>Таблички с номером дома и названием микрорайона.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</si>
  <si>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1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</si>
  <si>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4 -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</si>
  <si>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11 -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</si>
  <si>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21 -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</si>
  <si>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26 - </t>
    </r>
  </si>
  <si>
    <t>Акт выполненных работ  от 20.07.2012г.</t>
  </si>
  <si>
    <t>Счет № 137 от 19.11.2012г.</t>
  </si>
  <si>
    <t>Генеральная уборка подъезда в мае.</t>
  </si>
  <si>
    <t>Генеральная уборка подъезда в октябре.</t>
  </si>
  <si>
    <t>Замена контроллера, восстановление кабеля (входная дверь в подъезд).</t>
  </si>
  <si>
    <t>Ремонт расходомера 1 категории (33,35%).</t>
  </si>
  <si>
    <t>Установка циркуляционного насоса в ИТП (33,35%).</t>
  </si>
  <si>
    <t>Ревизия циркуляционного насоса в ИТП (33,35%).</t>
  </si>
  <si>
    <t>Установка стабилизатора напряжения в ИТП (33,35%).</t>
  </si>
  <si>
    <t>Замена манометров в ИТП (33,35%).</t>
  </si>
  <si>
    <t>Замена термометров в ИТП (33,35%).</t>
  </si>
  <si>
    <t>Оборудование охранной сигнализацией ИТП (33,35%).</t>
  </si>
  <si>
    <t>Монтаж розеток в подвале.</t>
  </si>
  <si>
    <t>Акт выполненных работ от октябрь 2013г.</t>
  </si>
  <si>
    <t xml:space="preserve">1. В </t>
  </si>
  <si>
    <t>м.</t>
  </si>
  <si>
    <t>Изготовление и монтаж ограждения между домами 106 и 107 (h=0,6).</t>
  </si>
  <si>
    <t xml:space="preserve">  107  ( </t>
  </si>
  <si>
    <t>−</t>
  </si>
  <si>
    <t xml:space="preserve">Акт выполненных работ от май 2013г. </t>
  </si>
  <si>
    <t>Счет № 1132 от 16.10.2013г.</t>
  </si>
  <si>
    <t xml:space="preserve">По техпаспорту общая площадь квартир </t>
  </si>
  <si>
    <t>(без учета нежилых помещений)</t>
  </si>
  <si>
    <t xml:space="preserve">По протоколу общего собрания площадь помещений, принадлежащих собственникам,             </t>
  </si>
  <si>
    <t xml:space="preserve">По программе (квартплата) общая площадь помещений  </t>
  </si>
  <si>
    <t>Монтаж запоров на окна в подвал.</t>
  </si>
  <si>
    <t>Монтаж замка на входную дверь в подвал.</t>
  </si>
  <si>
    <t>Плата за охранную сигнализацию ИТП (33,35%).</t>
  </si>
  <si>
    <t>Восстановление системы отопления в подъезде (после кражи радиаторов).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</si>
  <si>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</si>
  <si>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новым нормативам, введенным с 01 января 2013 года Приказом министерства ЖКХ, энергетики и </t>
  </si>
  <si>
    <t>период</t>
  </si>
  <si>
    <t xml:space="preserve">  по дому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</si>
  <si>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 </t>
    </r>
    <r>
      <rPr>
        <sz val="11"/>
        <color theme="1"/>
        <rFont val="Calibri"/>
        <family val="2"/>
        <charset val="204"/>
        <scheme val="minor"/>
      </rPr>
      <t xml:space="preserve">-              </t>
    </r>
  </si>
  <si>
    <t xml:space="preserve">            с 01 мая 2012 года по 31 декабря 2012 года</t>
  </si>
  <si>
    <t>Перерасход (+) или экономия (-) средств в 2012 году.</t>
  </si>
  <si>
    <t>Вывоз строительного и негабаритного мусора в августе (18%).</t>
  </si>
  <si>
    <t>Вывоз строительного и негабаритного мусора в октябре (18%).</t>
  </si>
  <si>
    <t xml:space="preserve">   транспорта ИО № 7-мпр от 27 августа 2012 года).</t>
  </si>
  <si>
    <t>Внеплановая настройка приборов учета.</t>
  </si>
  <si>
    <t>Ремонт освещения в подъезде (переделка с датчиков движения на выключатели).</t>
  </si>
  <si>
    <r>
      <t>13,74 руб./м</t>
    </r>
    <r>
      <rPr>
        <sz val="11"/>
        <color theme="1"/>
        <rFont val="Calibri"/>
        <family val="2"/>
        <charset val="204"/>
      </rPr>
      <t>²</t>
    </r>
  </si>
  <si>
    <t>Монтаж модема в ИТП (33,35%).</t>
  </si>
  <si>
    <t>Договор купли-продажи №М5094</t>
  </si>
  <si>
    <t xml:space="preserve">   исходя из объемов потребления в</t>
  </si>
  <si>
    <t xml:space="preserve">  году, с последующим перерасчетом по окончании</t>
  </si>
  <si>
    <t xml:space="preserve">   - чистка снега с кровли</t>
  </si>
  <si>
    <t xml:space="preserve">  - плата за охранную сигнализацию ИТП</t>
  </si>
  <si>
    <t xml:space="preserve">  - благоустройство придомовой территории</t>
  </si>
  <si>
    <t>Акт выполненных работ от декабрь 2013 г.</t>
  </si>
  <si>
    <t>м</t>
  </si>
  <si>
    <t>Кирпичная кладка стен для бытовых помещений, монтаж дверей (2шт.) (7,5%).</t>
  </si>
  <si>
    <t>Строительство бытового помещения для персонала (душевая) (7,5%)</t>
  </si>
  <si>
    <t>Строительство бытового помещения для персонала (туалет) (7,5%)</t>
  </si>
  <si>
    <t>Комната мастера (отделочные работы) (7,5%).</t>
  </si>
  <si>
    <t xml:space="preserve">Электромонтажные работы в мастерской и бытовых помещениях (7,5%). </t>
  </si>
  <si>
    <t>Изготовление стола для столярных работ (7,5%).</t>
  </si>
  <si>
    <t>Мебель для мастерской (7,5%).</t>
  </si>
  <si>
    <t>Установка новогодней елки (7,5%).</t>
  </si>
  <si>
    <t>Заливка катка (7,5%).</t>
  </si>
  <si>
    <t>Б 107(II)</t>
  </si>
  <si>
    <t>на руки</t>
  </si>
  <si>
    <t>Генеральная уборка подъезда апрель.</t>
  </si>
  <si>
    <t>Всего в 2013году:</t>
  </si>
  <si>
    <t>Управление МКД (14%)</t>
  </si>
  <si>
    <t>ИТОГО за 2013год:</t>
  </si>
  <si>
    <t>ИТОГО на 31.12.2013г:</t>
  </si>
  <si>
    <t>( ОАО "Северное управление")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</si>
  <si>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</si>
  <si>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</si>
  <si>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</si>
  <si>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</si>
  <si>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</si>
  <si>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</si>
  <si>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</si>
  <si>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</si>
  <si>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</si>
  <si>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</si>
  <si>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</si>
  <si>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 xml:space="preserve">Уборка снега </t>
  </si>
  <si>
    <r>
      <t xml:space="preserve">м </t>
    </r>
    <r>
      <rPr>
        <sz val="11"/>
        <color theme="1"/>
        <rFont val="Calibri"/>
        <family val="2"/>
        <charset val="204"/>
      </rPr>
      <t>²</t>
    </r>
  </si>
  <si>
    <t>в 84</t>
  </si>
  <si>
    <t>Плата за охранную сигнализацию ИТП (25,62%).</t>
  </si>
  <si>
    <t>Генеральная уборка подъезда сентябрь.</t>
  </si>
  <si>
    <t>м²) начислено за содержание, ремонт и коммунальные услуги:</t>
  </si>
  <si>
    <t>Администрация</t>
  </si>
  <si>
    <t>Н-Л-О</t>
  </si>
  <si>
    <r>
      <t xml:space="preserve">кв. </t>
    </r>
    <r>
      <rPr>
        <b/>
        <sz val="11"/>
        <rFont val="Calibri"/>
        <family val="2"/>
        <charset val="204"/>
        <scheme val="minor"/>
      </rPr>
      <t>11</t>
    </r>
    <r>
      <rPr>
        <sz val="11"/>
        <rFont val="Calibri"/>
        <family val="2"/>
        <charset val="204"/>
        <scheme val="minor"/>
      </rPr>
      <t xml:space="preserve"> -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</si>
  <si>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19 -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</si>
  <si>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21 - </t>
    </r>
  </si>
  <si>
    <r>
      <t>м</t>
    </r>
    <r>
      <rPr>
        <sz val="11"/>
        <rFont val="Calibri"/>
        <family val="2"/>
        <charset val="204"/>
      </rPr>
      <t>²</t>
    </r>
  </si>
  <si>
    <r>
      <t>11,20 руб./м</t>
    </r>
    <r>
      <rPr>
        <sz val="11"/>
        <rFont val="Calibri"/>
        <family val="2"/>
        <charset val="204"/>
      </rPr>
      <t>²</t>
    </r>
  </si>
  <si>
    <r>
      <t>5,45 руб./м</t>
    </r>
    <r>
      <rPr>
        <sz val="11"/>
        <rFont val="Calibri"/>
        <family val="2"/>
        <charset val="204"/>
      </rPr>
      <t>²</t>
    </r>
  </si>
  <si>
    <t>Управление МКД (14%).</t>
  </si>
  <si>
    <t>м/час</t>
  </si>
  <si>
    <t>тбо</t>
  </si>
  <si>
    <t>S тех. пас</t>
  </si>
  <si>
    <t>S квартпл</t>
  </si>
  <si>
    <t>%кв</t>
  </si>
  <si>
    <t>% тех.п.</t>
  </si>
  <si>
    <t>№ дома</t>
  </si>
  <si>
    <t>Кв плата</t>
  </si>
  <si>
    <r>
      <t xml:space="preserve">Тех паспорт   </t>
    </r>
    <r>
      <rPr>
        <b/>
        <sz val="11"/>
        <color theme="1"/>
        <rFont val="Calibri"/>
        <family val="2"/>
        <charset val="204"/>
        <scheme val="minor"/>
      </rPr>
      <t>1139,8</t>
    </r>
  </si>
  <si>
    <t>Замена манометров в ИТП (25,0%).</t>
  </si>
  <si>
    <t>Замена термометров в ИТП (25,0%).</t>
  </si>
  <si>
    <t>Изготовление крестовин для установки новогодних елок (4,13%).</t>
  </si>
  <si>
    <t>Новогодняя елка (4,13%).</t>
  </si>
  <si>
    <t>Монтаж дополнительного наружного освещения дороги (4,13%).</t>
  </si>
  <si>
    <t>Перерасход (+) или экономия (-) средств в 2013 году.</t>
  </si>
  <si>
    <t>ИТОГО за 2014год:</t>
  </si>
  <si>
    <t>ИТОГО на 31.12.2014г:</t>
  </si>
  <si>
    <t>Благоустройство территории (посадка деревьев, кустарников, цветов).</t>
  </si>
  <si>
    <t>Тех. обслуживание наружного видеонаблюдения (5,0%).</t>
  </si>
  <si>
    <t xml:space="preserve"> -  тех. обслуживание видеонаблюдения </t>
  </si>
  <si>
    <t xml:space="preserve">  -  плата за охранную сигнализацию ИТП</t>
  </si>
  <si>
    <t xml:space="preserve">  -  благоустройство территории</t>
  </si>
  <si>
    <t xml:space="preserve">  -  установка новогодней елки  </t>
  </si>
  <si>
    <t xml:space="preserve"> - содержание общего имущества -  13,22    рубля с кв.метра общей площади в месяц;</t>
  </si>
  <si>
    <t>Бер 107 (II)</t>
  </si>
  <si>
    <t>12,38 руб./м²</t>
  </si>
  <si>
    <t>Монтаж реле времени освищения (корт) (5,81%).</t>
  </si>
  <si>
    <t>Ремонт наружного освещения (замена ламп ДРЛ) (4,13%).</t>
  </si>
  <si>
    <t>Акт выполненых работ от   ,04,13г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</si>
  <si>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</si>
  <si>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Акт об оказании услуг №6898 от 22 апреля 2013г</t>
  </si>
  <si>
    <t>Вывоз строительного мусора и негабаритных отходов (14,84%).</t>
  </si>
  <si>
    <t>Покраска дорожных бордюров и разметка дорог вдоль домов.</t>
  </si>
  <si>
    <t>Акт выполненных работ от август 2013г.</t>
  </si>
  <si>
    <t>акт в 99</t>
  </si>
  <si>
    <t>Прочистка канализационного колодца КК (д.№84.)</t>
  </si>
  <si>
    <t>Акт выполненных работ от 25.10.2013 г.</t>
  </si>
  <si>
    <t xml:space="preserve">Монтаж наружного видеонаблюдения (12,51 %). </t>
  </si>
  <si>
    <t>тех обсл видео 2014г.</t>
  </si>
  <si>
    <t>Тех. обслуживание наружного видеонаблюдения (11,77 %).</t>
  </si>
  <si>
    <t>Уборка и вывоз снега с придомовой территории в январе (4,13%)</t>
  </si>
  <si>
    <t>Уборка и вывоз снега с придомовой территории в марте (3,11%)</t>
  </si>
  <si>
    <t>Нанесение трафарета на мусорные баки (3,11%)</t>
  </si>
  <si>
    <t>Покраска мусорных баков (3,11%)</t>
  </si>
  <si>
    <t>компл.</t>
  </si>
  <si>
    <t>ЦВЕТЫ</t>
  </si>
  <si>
    <t>Благоустройство территории (посадка цветов) (10,61%).</t>
  </si>
  <si>
    <t>Монтаж доски объявления при в ходе в подъезд.</t>
  </si>
  <si>
    <t>раб.</t>
  </si>
  <si>
    <t>Ремонт бытового помещения (2,27%)</t>
  </si>
  <si>
    <t>Замена трансформатора тока (по предписанию энергосбыта)(2,27%)</t>
  </si>
  <si>
    <t>Чистка КНС (канализационной насосной станции) (2,27%)</t>
  </si>
  <si>
    <t>Генеральная уборка в октябре.</t>
  </si>
  <si>
    <t>м ²</t>
  </si>
  <si>
    <t>Замена питающих кабелей на электродвигатели насосов КНС (2,27%).</t>
  </si>
  <si>
    <t>Регистрация видеонаблюдения(2,27%).</t>
  </si>
  <si>
    <t>Замена манометров в ИТП (25,44%)</t>
  </si>
  <si>
    <t>Замена термометров в ИТП (25,44%)</t>
  </si>
  <si>
    <t>Замена считывателя в ИТП (25,44%)</t>
  </si>
  <si>
    <t>Установка новогодней елки (2,27 %)</t>
  </si>
  <si>
    <t>Тех. обслуживание охранной сигнализации (25,44 %).</t>
  </si>
  <si>
    <t>Всего в 2014году: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</si>
  <si>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</si>
  <si>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6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</si>
  <si>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10 -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</si>
  <si>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29 -</t>
    </r>
  </si>
  <si>
    <t xml:space="preserve"> - </t>
  </si>
  <si>
    <t xml:space="preserve"> - содержание общего имущества - 11,20     рубля с кв.метра общей площади в месяц;</t>
  </si>
  <si>
    <t>Накладные расходы (14%)</t>
  </si>
  <si>
    <t>Предъявлен на рассмотрение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</si>
</sst>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00000"/>
    <numFmt numFmtId="166" formatCode="#,##0.0"/>
  </numFmts>
  <fonts count="2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sz val="10"/>
      <color rgb="FF003F2F"/>
      <name val="Arial"/>
      <family val="2"/>
    </font>
    <font>
      <vertAlign val="superscript"/>
      <sz val="11"/>
      <color theme="1"/>
      <name val="Calibri"/>
      <family val="2"/>
      <charset val="204"/>
      <scheme val="minor"/>
    </font>
    <font>
      <sz val="11"/>
      <color rgb="FF92D05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F0DD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CC8BD"/>
      </top>
      <bottom style="thin">
        <color rgb="FFACC8BD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/>
      <top style="medium">
        <color indexed="64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ACC8BD"/>
      </bottom>
      <diagonal/>
    </border>
    <border>
      <left style="medium">
        <color indexed="64"/>
      </left>
      <right/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thin">
        <color rgb="FFACC8BD"/>
      </top>
      <bottom style="thin">
        <color rgb="FFACC8BD"/>
      </bottom>
      <diagonal/>
    </border>
    <border>
      <left/>
      <right/>
      <top style="thin">
        <color rgb="FFACC8BD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ACC8BD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0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10" xfId="0" applyBorder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4" fontId="4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0" fillId="0" borderId="10" xfId="0" applyFill="1" applyBorder="1" applyAlignment="1">
      <alignment horizontal="center"/>
    </xf>
    <xf numFmtId="0" fontId="7" fillId="0" borderId="0" xfId="0" applyFont="1" applyAlignment="1">
      <alignment horizontal="right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Fill="1" applyBorder="1"/>
    <xf numFmtId="0" fontId="8" fillId="0" borderId="0" xfId="0" applyFont="1" applyFill="1" applyBorder="1"/>
    <xf numFmtId="0" fontId="0" fillId="0" borderId="0" xfId="0" applyAlignment="1">
      <alignment horizontal="center"/>
    </xf>
    <xf numFmtId="0" fontId="0" fillId="0" borderId="8" xfId="0" applyBorder="1" applyAlignment="1"/>
    <xf numFmtId="0" fontId="0" fillId="0" borderId="8" xfId="0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 applyBorder="1"/>
    <xf numFmtId="0" fontId="3" fillId="0" borderId="0" xfId="0" applyFont="1" applyAlignment="1">
      <alignment horizontal="center"/>
    </xf>
    <xf numFmtId="17" fontId="1" fillId="3" borderId="0" xfId="0" applyNumberFormat="1" applyFont="1" applyFill="1" applyAlignment="1">
      <alignment horizontal="center"/>
    </xf>
    <xf numFmtId="1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0" borderId="0" xfId="0" applyFill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1" applyFont="1" applyBorder="1" applyAlignment="1">
      <alignment vertical="top" wrapText="1"/>
    </xf>
    <xf numFmtId="17" fontId="0" fillId="0" borderId="0" xfId="0" applyNumberFormat="1" applyFill="1"/>
    <xf numFmtId="4" fontId="0" fillId="0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0" fontId="10" fillId="0" borderId="16" xfId="1" applyFont="1" applyBorder="1" applyAlignment="1">
      <alignment vertical="top" wrapText="1"/>
    </xf>
    <xf numFmtId="2" fontId="10" fillId="0" borderId="16" xfId="1" applyNumberFormat="1" applyFont="1" applyBorder="1" applyAlignment="1">
      <alignment horizontal="right" vertical="top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10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1" fillId="0" borderId="0" xfId="0" applyFont="1" applyFill="1" applyBorder="1"/>
    <xf numFmtId="0" fontId="11" fillId="0" borderId="0" xfId="0" applyFont="1"/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5" borderId="0" xfId="0" applyFill="1"/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2" xfId="0" applyBorder="1"/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" fontId="13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right" vertical="top" wrapText="1"/>
    </xf>
    <xf numFmtId="2" fontId="13" fillId="0" borderId="0" xfId="0" applyNumberFormat="1" applyFont="1" applyFill="1" applyBorder="1" applyAlignment="1">
      <alignment horizontal="right" vertical="top" wrapText="1"/>
    </xf>
    <xf numFmtId="0" fontId="11" fillId="0" borderId="0" xfId="0" applyFont="1" applyFill="1"/>
    <xf numFmtId="0" fontId="15" fillId="0" borderId="0" xfId="0" applyFont="1" applyFill="1"/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0" fontId="16" fillId="0" borderId="0" xfId="0" applyFont="1" applyFill="1" applyAlignment="1"/>
    <xf numFmtId="0" fontId="17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4" fontId="11" fillId="0" borderId="0" xfId="0" applyNumberFormat="1" applyFont="1" applyFill="1" applyAlignment="1"/>
    <xf numFmtId="4" fontId="11" fillId="0" borderId="0" xfId="0" applyNumberFormat="1" applyFont="1" applyFill="1"/>
    <xf numFmtId="0" fontId="14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4" fontId="17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center"/>
    </xf>
    <xf numFmtId="4" fontId="14" fillId="0" borderId="0" xfId="0" applyNumberFormat="1" applyFont="1" applyFill="1"/>
    <xf numFmtId="0" fontId="11" fillId="0" borderId="0" xfId="0" applyFont="1" applyFill="1" applyAlignment="1"/>
    <xf numFmtId="4" fontId="15" fillId="0" borderId="0" xfId="0" applyNumberFormat="1" applyFont="1" applyFill="1"/>
    <xf numFmtId="0" fontId="12" fillId="0" borderId="0" xfId="0" applyFont="1" applyFill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0" fontId="14" fillId="0" borderId="13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13" xfId="0" applyFont="1" applyFill="1" applyBorder="1" applyAlignment="1"/>
    <xf numFmtId="0" fontId="11" fillId="0" borderId="10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166" fontId="11" fillId="0" borderId="8" xfId="0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3" xfId="0" applyFont="1" applyFill="1" applyBorder="1"/>
    <xf numFmtId="0" fontId="14" fillId="0" borderId="14" xfId="0" applyFont="1" applyFill="1" applyBorder="1" applyAlignment="1"/>
    <xf numFmtId="0" fontId="14" fillId="0" borderId="15" xfId="0" applyFont="1" applyFill="1" applyBorder="1" applyAlignment="1"/>
    <xf numFmtId="4" fontId="14" fillId="0" borderId="0" xfId="0" applyNumberFormat="1" applyFont="1" applyFill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2" fontId="14" fillId="0" borderId="0" xfId="0" applyNumberFormat="1" applyFont="1" applyFill="1" applyAlignment="1">
      <alignment horizontal="center"/>
    </xf>
    <xf numFmtId="2" fontId="11" fillId="0" borderId="0" xfId="0" applyNumberFormat="1" applyFont="1" applyFill="1" applyAlignment="1">
      <alignment horizont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/>
    <xf numFmtId="1" fontId="11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right"/>
    </xf>
    <xf numFmtId="0" fontId="19" fillId="6" borderId="17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7" borderId="0" xfId="0" applyFill="1" applyBorder="1"/>
    <xf numFmtId="0" fontId="0" fillId="2" borderId="0" xfId="0" applyFill="1" applyBorder="1"/>
    <xf numFmtId="4" fontId="0" fillId="2" borderId="0" xfId="0" applyNumberFormat="1" applyFill="1" applyBorder="1" applyAlignment="1">
      <alignment horizontal="center"/>
    </xf>
    <xf numFmtId="4" fontId="0" fillId="7" borderId="0" xfId="0" applyNumberFormat="1" applyFill="1" applyBorder="1" applyAlignment="1">
      <alignment horizontal="center"/>
    </xf>
    <xf numFmtId="0" fontId="0" fillId="0" borderId="13" xfId="0" applyBorder="1"/>
    <xf numFmtId="0" fontId="0" fillId="7" borderId="14" xfId="0" applyFill="1" applyBorder="1"/>
    <xf numFmtId="0" fontId="0" fillId="2" borderId="14" xfId="0" applyFill="1" applyBorder="1"/>
    <xf numFmtId="4" fontId="0" fillId="2" borderId="14" xfId="0" applyNumberFormat="1" applyFill="1" applyBorder="1" applyAlignment="1">
      <alignment horizontal="center"/>
    </xf>
    <xf numFmtId="4" fontId="0" fillId="7" borderId="15" xfId="0" applyNumberFormat="1" applyFill="1" applyBorder="1" applyAlignment="1">
      <alignment horizontal="center"/>
    </xf>
    <xf numFmtId="4" fontId="19" fillId="7" borderId="18" xfId="0" applyNumberFormat="1" applyFont="1" applyFill="1" applyBorder="1" applyAlignment="1">
      <alignment horizontal="right" vertical="top"/>
    </xf>
    <xf numFmtId="4" fontId="19" fillId="2" borderId="18" xfId="0" applyNumberFormat="1" applyFont="1" applyFill="1" applyBorder="1" applyAlignment="1">
      <alignment horizontal="right" vertical="top"/>
    </xf>
    <xf numFmtId="0" fontId="19" fillId="6" borderId="19" xfId="0" applyFont="1" applyFill="1" applyBorder="1" applyAlignment="1">
      <alignment horizontal="left" vertical="top" wrapText="1"/>
    </xf>
    <xf numFmtId="4" fontId="19" fillId="7" borderId="19" xfId="0" applyNumberFormat="1" applyFont="1" applyFill="1" applyBorder="1" applyAlignment="1">
      <alignment horizontal="right" vertical="top"/>
    </xf>
    <xf numFmtId="4" fontId="19" fillId="2" borderId="20" xfId="0" applyNumberFormat="1" applyFont="1" applyFill="1" applyBorder="1" applyAlignment="1">
      <alignment horizontal="right" vertical="top"/>
    </xf>
    <xf numFmtId="4" fontId="0" fillId="2" borderId="11" xfId="0" applyNumberFormat="1" applyFill="1" applyBorder="1" applyAlignment="1">
      <alignment horizontal="center"/>
    </xf>
    <xf numFmtId="4" fontId="0" fillId="7" borderId="1" xfId="0" applyNumberFormat="1" applyFill="1" applyBorder="1" applyAlignment="1">
      <alignment horizontal="center"/>
    </xf>
    <xf numFmtId="0" fontId="19" fillId="6" borderId="21" xfId="0" applyFont="1" applyFill="1" applyBorder="1" applyAlignment="1">
      <alignment horizontal="left" vertical="top" wrapText="1"/>
    </xf>
    <xf numFmtId="4" fontId="19" fillId="7" borderId="21" xfId="0" applyNumberFormat="1" applyFont="1" applyFill="1" applyBorder="1" applyAlignment="1">
      <alignment horizontal="right" vertical="top"/>
    </xf>
    <xf numFmtId="4" fontId="19" fillId="2" borderId="22" xfId="0" applyNumberFormat="1" applyFont="1" applyFill="1" applyBorder="1" applyAlignment="1">
      <alignment horizontal="right" vertical="top"/>
    </xf>
    <xf numFmtId="4" fontId="0" fillId="7" borderId="10" xfId="0" applyNumberFormat="1" applyFill="1" applyBorder="1" applyAlignment="1">
      <alignment horizontal="center"/>
    </xf>
    <xf numFmtId="2" fontId="19" fillId="7" borderId="18" xfId="0" applyNumberFormat="1" applyFont="1" applyFill="1" applyBorder="1" applyAlignment="1">
      <alignment horizontal="right" vertical="top"/>
    </xf>
    <xf numFmtId="2" fontId="19" fillId="2" borderId="18" xfId="0" applyNumberFormat="1" applyFont="1" applyFill="1" applyBorder="1" applyAlignment="1">
      <alignment horizontal="right" vertical="top"/>
    </xf>
    <xf numFmtId="2" fontId="19" fillId="7" borderId="21" xfId="0" applyNumberFormat="1" applyFont="1" applyFill="1" applyBorder="1" applyAlignment="1">
      <alignment horizontal="right" vertical="top"/>
    </xf>
    <xf numFmtId="2" fontId="19" fillId="2" borderId="22" xfId="0" applyNumberFormat="1" applyFont="1" applyFill="1" applyBorder="1" applyAlignment="1">
      <alignment horizontal="right" vertical="top"/>
    </xf>
    <xf numFmtId="0" fontId="19" fillId="6" borderId="23" xfId="0" applyFont="1" applyFill="1" applyBorder="1" applyAlignment="1">
      <alignment horizontal="left" vertical="top" wrapText="1"/>
    </xf>
    <xf numFmtId="4" fontId="19" fillId="7" borderId="24" xfId="0" applyNumberFormat="1" applyFont="1" applyFill="1" applyBorder="1" applyAlignment="1">
      <alignment horizontal="right" vertical="top"/>
    </xf>
    <xf numFmtId="4" fontId="19" fillId="2" borderId="24" xfId="0" applyNumberFormat="1" applyFont="1" applyFill="1" applyBorder="1" applyAlignment="1">
      <alignment horizontal="right" vertical="top"/>
    </xf>
    <xf numFmtId="4" fontId="0" fillId="2" borderId="25" xfId="0" applyNumberFormat="1" applyFill="1" applyBorder="1" applyAlignment="1">
      <alignment horizontal="center"/>
    </xf>
    <xf numFmtId="4" fontId="0" fillId="7" borderId="25" xfId="0" applyNumberFormat="1" applyFill="1" applyBorder="1" applyAlignment="1">
      <alignment horizontal="center"/>
    </xf>
    <xf numFmtId="0" fontId="19" fillId="6" borderId="26" xfId="0" applyFont="1" applyFill="1" applyBorder="1" applyAlignment="1">
      <alignment horizontal="left" vertical="top" wrapText="1"/>
    </xf>
    <xf numFmtId="4" fontId="19" fillId="7" borderId="8" xfId="0" applyNumberFormat="1" applyFont="1" applyFill="1" applyBorder="1" applyAlignment="1">
      <alignment horizontal="right" vertical="top"/>
    </xf>
    <xf numFmtId="4" fontId="19" fillId="2" borderId="10" xfId="0" applyNumberFormat="1" applyFont="1" applyFill="1" applyBorder="1" applyAlignment="1">
      <alignment horizontal="right" vertical="top"/>
    </xf>
    <xf numFmtId="0" fontId="19" fillId="6" borderId="10" xfId="0" applyFont="1" applyFill="1" applyBorder="1" applyAlignment="1">
      <alignment horizontal="left" vertical="top" wrapText="1"/>
    </xf>
    <xf numFmtId="0" fontId="19" fillId="6" borderId="27" xfId="0" applyFont="1" applyFill="1" applyBorder="1" applyAlignment="1">
      <alignment horizontal="left" vertical="top" wrapText="1"/>
    </xf>
    <xf numFmtId="4" fontId="19" fillId="7" borderId="28" xfId="0" applyNumberFormat="1" applyFont="1" applyFill="1" applyBorder="1" applyAlignment="1">
      <alignment horizontal="right" vertical="top"/>
    </xf>
    <xf numFmtId="4" fontId="19" fillId="2" borderId="27" xfId="0" applyNumberFormat="1" applyFont="1" applyFill="1" applyBorder="1" applyAlignment="1">
      <alignment horizontal="right" vertical="top"/>
    </xf>
    <xf numFmtId="4" fontId="0" fillId="7" borderId="27" xfId="0" applyNumberFormat="1" applyFill="1" applyBorder="1" applyAlignment="1">
      <alignment horizontal="center"/>
    </xf>
    <xf numFmtId="0" fontId="0" fillId="0" borderId="6" xfId="0" applyBorder="1"/>
    <xf numFmtId="4" fontId="0" fillId="0" borderId="12" xfId="0" applyNumberFormat="1" applyBorder="1"/>
    <xf numFmtId="0" fontId="1" fillId="0" borderId="12" xfId="0" applyFont="1" applyBorder="1"/>
    <xf numFmtId="4" fontId="0" fillId="0" borderId="12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166" fontId="0" fillId="0" borderId="8" xfId="0" applyNumberFormat="1" applyBorder="1" applyAlignment="1">
      <alignment horizontal="center"/>
    </xf>
    <xf numFmtId="164" fontId="11" fillId="0" borderId="10" xfId="0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0" fillId="0" borderId="10" xfId="0" applyFont="1" applyBorder="1" applyAlignment="1">
      <alignment horizontal="center"/>
    </xf>
    <xf numFmtId="0" fontId="21" fillId="0" borderId="0" xfId="0" applyFont="1"/>
    <xf numFmtId="4" fontId="21" fillId="0" borderId="0" xfId="0" applyNumberFormat="1" applyFont="1"/>
    <xf numFmtId="0" fontId="0" fillId="0" borderId="10" xfId="0" applyFont="1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1" fillId="0" borderId="9" xfId="0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4" fontId="13" fillId="0" borderId="0" xfId="0" applyNumberFormat="1" applyFont="1" applyFill="1" applyBorder="1" applyAlignment="1">
      <alignment horizontal="right" vertical="top" wrapText="1"/>
    </xf>
    <xf numFmtId="4" fontId="2" fillId="0" borderId="0" xfId="0" applyNumberFormat="1" applyFont="1" applyAlignment="1"/>
    <xf numFmtId="4" fontId="1" fillId="0" borderId="1" xfId="0" applyNumberFormat="1" applyFont="1" applyBorder="1" applyAlignment="1"/>
    <xf numFmtId="4" fontId="1" fillId="0" borderId="2" xfId="0" applyNumberFormat="1" applyFont="1" applyBorder="1" applyAlignment="1"/>
    <xf numFmtId="4" fontId="1" fillId="0" borderId="13" xfId="0" applyNumberFormat="1" applyFont="1" applyBorder="1" applyAlignment="1"/>
    <xf numFmtId="4" fontId="0" fillId="0" borderId="8" xfId="0" applyNumberFormat="1" applyBorder="1" applyAlignment="1">
      <alignment horizontal="center"/>
    </xf>
    <xf numFmtId="4" fontId="0" fillId="0" borderId="0" xfId="0" applyNumberFormat="1" applyFont="1" applyBorder="1" applyAlignment="1">
      <alignment horizontal="center"/>
    </xf>
    <xf numFmtId="4" fontId="11" fillId="0" borderId="8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0" fillId="0" borderId="8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4" fontId="0" fillId="0" borderId="8" xfId="0" applyNumberForma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3" xfId="0" applyNumberFormat="1" applyBorder="1"/>
    <xf numFmtId="4" fontId="0" fillId="0" borderId="0" xfId="0" applyNumberFormat="1" applyFill="1" applyBorder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11" fillId="0" borderId="8" xfId="0" applyNumberFormat="1" applyFont="1" applyFill="1" applyBorder="1" applyAlignment="1"/>
    <xf numFmtId="4" fontId="11" fillId="0" borderId="9" xfId="0" applyNumberFormat="1" applyFont="1" applyFill="1" applyBorder="1" applyAlignment="1"/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11" fillId="0" borderId="8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left"/>
    </xf>
    <xf numFmtId="4" fontId="11" fillId="0" borderId="8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4" fontId="0" fillId="0" borderId="6" xfId="0" applyNumberFormat="1" applyBorder="1" applyAlignment="1"/>
    <xf numFmtId="4" fontId="0" fillId="0" borderId="7" xfId="0" applyNumberFormat="1" applyBorder="1" applyAlignment="1"/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0" fillId="0" borderId="4" xfId="0" applyNumberFormat="1" applyBorder="1" applyAlignment="1"/>
    <xf numFmtId="4" fontId="0" fillId="0" borderId="5" xfId="0" applyNumberFormat="1" applyBorder="1" applyAlignment="1"/>
    <xf numFmtId="0" fontId="1" fillId="0" borderId="1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64" fontId="0" fillId="0" borderId="8" xfId="0" applyNumberFormat="1" applyFill="1" applyBorder="1" applyAlignment="1">
      <alignment horizontal="right"/>
    </xf>
    <xf numFmtId="164" fontId="0" fillId="0" borderId="9" xfId="0" applyNumberForma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16" fillId="0" borderId="0" xfId="0" applyFont="1" applyFill="1" applyAlignment="1">
      <alignment horizontal="center"/>
    </xf>
    <xf numFmtId="4" fontId="13" fillId="0" borderId="0" xfId="0" applyNumberFormat="1" applyFont="1" applyFill="1" applyAlignment="1">
      <alignment horizontal="right"/>
    </xf>
    <xf numFmtId="4" fontId="14" fillId="0" borderId="0" xfId="0" applyNumberFormat="1" applyFont="1" applyFill="1" applyAlignment="1">
      <alignment horizontal="right"/>
    </xf>
    <xf numFmtId="0" fontId="14" fillId="0" borderId="4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4" fontId="11" fillId="0" borderId="8" xfId="0" applyNumberFormat="1" applyFont="1" applyFill="1" applyBorder="1" applyAlignment="1">
      <alignment horizontal="right"/>
    </xf>
    <xf numFmtId="4" fontId="11" fillId="0" borderId="9" xfId="0" applyNumberFormat="1" applyFont="1" applyFill="1" applyBorder="1" applyAlignment="1">
      <alignment horizontal="right"/>
    </xf>
    <xf numFmtId="0" fontId="11" fillId="0" borderId="8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 wrapText="1"/>
    </xf>
    <xf numFmtId="0" fontId="11" fillId="0" borderId="0" xfId="0" applyFont="1" applyFill="1" applyAlignment="1">
      <alignment horizontal="left"/>
    </xf>
    <xf numFmtId="0" fontId="11" fillId="0" borderId="13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4" fontId="14" fillId="0" borderId="13" xfId="0" applyNumberFormat="1" applyFont="1" applyFill="1" applyBorder="1" applyAlignment="1">
      <alignment horizontal="right"/>
    </xf>
    <xf numFmtId="4" fontId="14" fillId="0" borderId="15" xfId="0" applyNumberFormat="1" applyFont="1" applyFill="1" applyBorder="1" applyAlignment="1">
      <alignment horizontal="right"/>
    </xf>
    <xf numFmtId="4" fontId="14" fillId="0" borderId="6" xfId="0" applyNumberFormat="1" applyFont="1" applyFill="1" applyBorder="1" applyAlignment="1">
      <alignment horizontal="right"/>
    </xf>
    <xf numFmtId="0" fontId="14" fillId="0" borderId="7" xfId="0" applyFont="1" applyFill="1" applyBorder="1" applyAlignment="1">
      <alignment horizontal="right"/>
    </xf>
    <xf numFmtId="4" fontId="14" fillId="0" borderId="8" xfId="0" applyNumberFormat="1" applyFont="1" applyFill="1" applyBorder="1" applyAlignment="1"/>
    <xf numFmtId="4" fontId="14" fillId="0" borderId="9" xfId="0" applyNumberFormat="1" applyFont="1" applyFill="1" applyBorder="1" applyAlignment="1"/>
    <xf numFmtId="4" fontId="13" fillId="0" borderId="6" xfId="0" applyNumberFormat="1" applyFont="1" applyFill="1" applyBorder="1" applyAlignment="1"/>
    <xf numFmtId="4" fontId="13" fillId="0" borderId="7" xfId="0" applyNumberFormat="1" applyFont="1" applyFill="1" applyBorder="1" applyAlignment="1"/>
    <xf numFmtId="0" fontId="14" fillId="0" borderId="4" xfId="0" applyFont="1" applyFill="1" applyBorder="1" applyAlignment="1">
      <alignment horizontal="center" vertical="top"/>
    </xf>
    <xf numFmtId="0" fontId="14" fillId="0" borderId="11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/>
    </xf>
    <xf numFmtId="0" fontId="14" fillId="0" borderId="6" xfId="0" applyFont="1" applyFill="1" applyBorder="1" applyAlignment="1">
      <alignment horizontal="center" vertical="top"/>
    </xf>
    <xf numFmtId="0" fontId="14" fillId="0" borderId="12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1" fillId="0" borderId="4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1" fillId="0" borderId="12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21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4" fontId="1" fillId="0" borderId="13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0" fontId="0" fillId="0" borderId="8" xfId="0" applyBorder="1" applyAlignment="1">
      <alignment horizontal="left" wrapText="1"/>
    </xf>
    <xf numFmtId="0" fontId="11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34"/>
  <sheetViews>
    <sheetView topLeftCell="A22" zoomScaleNormal="100" workbookViewId="0">
      <selection activeCell="I41" sqref="I41:J41"/>
    </sheetView>
  </sheetViews>
  <sheetFormatPr defaultRowHeight="15"/>
  <cols>
    <col min="1" max="1" width="5.28515625" customWidth="1"/>
    <col min="2" max="2" width="9.85546875" customWidth="1"/>
    <col min="3" max="3" width="10.7109375" customWidth="1"/>
    <col min="4" max="4" width="7.28515625" customWidth="1"/>
    <col min="5" max="5" width="9" customWidth="1"/>
    <col min="6" max="6" width="9.7109375" customWidth="1"/>
    <col min="7" max="7" width="12.42578125" customWidth="1"/>
    <col min="8" max="8" width="12.85546875" customWidth="1"/>
    <col min="9" max="9" width="7.42578125" customWidth="1"/>
    <col min="10" max="10" width="11.42578125" customWidth="1"/>
    <col min="11" max="11" width="12.140625" customWidth="1"/>
    <col min="12" max="12" width="1.140625" customWidth="1"/>
    <col min="14" max="14" width="13.28515625" customWidth="1"/>
    <col min="17" max="17" width="27.28515625" customWidth="1"/>
    <col min="19" max="19" width="42.42578125" customWidth="1"/>
    <col min="20" max="20" width="13" customWidth="1"/>
  </cols>
  <sheetData>
    <row r="1" spans="1:21">
      <c r="K1" s="43" t="s">
        <v>237</v>
      </c>
    </row>
    <row r="2" spans="1:21" ht="18.75">
      <c r="A2" s="300" t="s">
        <v>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21" ht="18.75">
      <c r="A3" s="300" t="s">
        <v>1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</row>
    <row r="4" spans="1:21" ht="18.75">
      <c r="A4" s="1"/>
      <c r="B4" s="3"/>
      <c r="C4" s="1"/>
      <c r="D4" s="5" t="s">
        <v>2</v>
      </c>
      <c r="E4" s="47">
        <v>107</v>
      </c>
      <c r="F4" s="25" t="s">
        <v>101</v>
      </c>
      <c r="G4" s="25"/>
      <c r="H4" s="39"/>
      <c r="I4" s="84" t="s">
        <v>208</v>
      </c>
      <c r="J4" s="25"/>
    </row>
    <row r="5" spans="1:21" ht="18.75">
      <c r="A5" s="1"/>
      <c r="B5" s="3"/>
      <c r="C5" s="1"/>
      <c r="D5" s="314" t="s">
        <v>211</v>
      </c>
      <c r="E5" s="314"/>
      <c r="F5" s="314"/>
      <c r="G5" s="314"/>
      <c r="H5" s="314"/>
      <c r="I5" s="314"/>
      <c r="J5" s="314"/>
    </row>
    <row r="6" spans="1:21">
      <c r="O6" t="s">
        <v>198</v>
      </c>
      <c r="S6" t="s">
        <v>199</v>
      </c>
      <c r="T6" s="26">
        <v>1138.8</v>
      </c>
      <c r="U6" t="s">
        <v>121</v>
      </c>
    </row>
    <row r="7" spans="1:21" ht="15.75">
      <c r="A7" s="4" t="s">
        <v>29</v>
      </c>
      <c r="B7" s="82" t="s">
        <v>208</v>
      </c>
      <c r="C7" t="s">
        <v>209</v>
      </c>
      <c r="D7" s="51" t="s">
        <v>105</v>
      </c>
      <c r="E7" s="37">
        <v>1139.5999999999999</v>
      </c>
      <c r="F7" t="s">
        <v>69</v>
      </c>
      <c r="O7" t="s">
        <v>200</v>
      </c>
    </row>
    <row r="8" spans="1:21" ht="15.75">
      <c r="A8" s="301">
        <v>255139.93</v>
      </c>
      <c r="B8" s="301"/>
      <c r="C8" s="6" t="s">
        <v>3</v>
      </c>
      <c r="G8" s="9">
        <f>A8-J9</f>
        <v>95415.12</v>
      </c>
      <c r="H8" s="46" t="s">
        <v>99</v>
      </c>
      <c r="I8" s="8">
        <f>(G8/A8)*100</f>
        <v>37.397172602500909</v>
      </c>
      <c r="J8" t="s">
        <v>4</v>
      </c>
      <c r="O8" t="s">
        <v>201</v>
      </c>
      <c r="T8" s="26"/>
      <c r="U8" t="s">
        <v>121</v>
      </c>
    </row>
    <row r="9" spans="1:21" ht="24" customHeight="1">
      <c r="A9" t="s">
        <v>98</v>
      </c>
      <c r="J9" s="9">
        <f>J14</f>
        <v>159724.81</v>
      </c>
      <c r="K9" t="s">
        <v>5</v>
      </c>
      <c r="N9" s="65"/>
      <c r="O9" s="65"/>
      <c r="P9" s="65"/>
      <c r="Q9" s="65"/>
      <c r="R9" s="65"/>
      <c r="S9" s="65"/>
    </row>
    <row r="10" spans="1:21">
      <c r="A10" t="s">
        <v>97</v>
      </c>
      <c r="N10" s="65"/>
      <c r="O10" s="65"/>
      <c r="P10" s="65"/>
      <c r="Q10" s="65"/>
      <c r="R10" s="65"/>
      <c r="S10" s="65"/>
    </row>
    <row r="11" spans="1:21">
      <c r="A11" t="s">
        <v>172</v>
      </c>
      <c r="B11" s="27">
        <v>4410.78</v>
      </c>
      <c r="C11" t="s">
        <v>10</v>
      </c>
      <c r="E11" s="40" t="s">
        <v>173</v>
      </c>
      <c r="F11" s="27">
        <v>6681.11</v>
      </c>
      <c r="G11" t="s">
        <v>10</v>
      </c>
      <c r="I11" s="40" t="s">
        <v>175</v>
      </c>
      <c r="J11" s="27">
        <v>9358.36</v>
      </c>
      <c r="K11" t="s">
        <v>10</v>
      </c>
      <c r="N11" s="65"/>
      <c r="O11" s="65"/>
      <c r="P11" s="65"/>
      <c r="Q11" s="65"/>
      <c r="R11" s="65"/>
      <c r="S11" s="65"/>
    </row>
    <row r="12" spans="1:21">
      <c r="A12" t="s">
        <v>210</v>
      </c>
      <c r="B12" s="27">
        <v>4135.1099999999997</v>
      </c>
      <c r="C12" t="s">
        <v>10</v>
      </c>
      <c r="E12" s="40" t="s">
        <v>174</v>
      </c>
      <c r="F12" s="27">
        <v>9291.2999999999993</v>
      </c>
      <c r="G12" t="s">
        <v>10</v>
      </c>
      <c r="I12" s="40" t="s">
        <v>176</v>
      </c>
      <c r="J12" s="27">
        <v>6721.8</v>
      </c>
      <c r="K12" t="s">
        <v>10</v>
      </c>
      <c r="N12" s="65"/>
      <c r="O12" s="65"/>
      <c r="P12" s="65"/>
      <c r="Q12" s="65"/>
      <c r="R12" s="65"/>
      <c r="S12" s="65"/>
    </row>
    <row r="13" spans="1:21">
      <c r="B13" s="27"/>
      <c r="E13" s="33"/>
      <c r="F13" s="27"/>
      <c r="I13" s="33"/>
      <c r="J13" s="27"/>
      <c r="N13" s="65"/>
      <c r="O13" s="65"/>
      <c r="P13" s="65"/>
      <c r="Q13" s="65"/>
      <c r="R13" s="65"/>
      <c r="S13" s="65"/>
    </row>
    <row r="14" spans="1:21" ht="18" customHeight="1">
      <c r="A14" t="s">
        <v>32</v>
      </c>
      <c r="J14" s="27">
        <f>G15+G16+G17+G18</f>
        <v>159724.81</v>
      </c>
      <c r="K14" s="29" t="s">
        <v>33</v>
      </c>
    </row>
    <row r="15" spans="1:21">
      <c r="A15" s="10" t="s">
        <v>6</v>
      </c>
      <c r="B15" t="s">
        <v>7</v>
      </c>
      <c r="G15" s="7">
        <v>83830.289999999994</v>
      </c>
      <c r="H15" t="s">
        <v>10</v>
      </c>
    </row>
    <row r="16" spans="1:21">
      <c r="A16" s="10" t="s">
        <v>6</v>
      </c>
      <c r="B16" t="s">
        <v>8</v>
      </c>
      <c r="G16" s="7">
        <v>52119.28</v>
      </c>
      <c r="H16" t="s">
        <v>10</v>
      </c>
    </row>
    <row r="17" spans="1:17">
      <c r="A17" s="10" t="s">
        <v>6</v>
      </c>
      <c r="B17" t="s">
        <v>9</v>
      </c>
      <c r="G17" s="7">
        <v>11215.6</v>
      </c>
      <c r="H17" t="s">
        <v>10</v>
      </c>
      <c r="K17" s="6"/>
      <c r="L17" s="14"/>
    </row>
    <row r="18" spans="1:17">
      <c r="A18" s="10" t="s">
        <v>6</v>
      </c>
      <c r="B18" t="s">
        <v>14</v>
      </c>
      <c r="G18" s="7">
        <v>12559.64</v>
      </c>
      <c r="H18" t="s">
        <v>10</v>
      </c>
    </row>
    <row r="19" spans="1:17" ht="18.75" customHeight="1">
      <c r="G19" s="28"/>
    </row>
    <row r="20" spans="1:17">
      <c r="A20" s="11" t="s">
        <v>11</v>
      </c>
      <c r="G20" s="26">
        <v>20850.2</v>
      </c>
      <c r="H20" t="s">
        <v>12</v>
      </c>
    </row>
    <row r="21" spans="1:17" ht="15.75" thickBot="1">
      <c r="A21" s="302">
        <f>G20*I8/100</f>
        <v>7797.3852819666454</v>
      </c>
      <c r="B21" s="302"/>
      <c r="C21" t="s">
        <v>75</v>
      </c>
    </row>
    <row r="22" spans="1:17">
      <c r="A22" s="12" t="s">
        <v>2</v>
      </c>
      <c r="B22" s="303" t="s">
        <v>20</v>
      </c>
      <c r="C22" s="309"/>
      <c r="D22" s="309"/>
      <c r="E22" s="309"/>
      <c r="F22" s="309"/>
      <c r="G22" s="309"/>
      <c r="H22" s="304"/>
      <c r="I22" s="12" t="s">
        <v>18</v>
      </c>
      <c r="J22" s="17" t="s">
        <v>17</v>
      </c>
      <c r="K22" s="303" t="s">
        <v>15</v>
      </c>
      <c r="L22" s="304"/>
    </row>
    <row r="23" spans="1:17" ht="15.75" thickBot="1">
      <c r="A23" s="13" t="s">
        <v>13</v>
      </c>
      <c r="B23" s="310"/>
      <c r="C23" s="311"/>
      <c r="D23" s="311"/>
      <c r="E23" s="311"/>
      <c r="F23" s="311"/>
      <c r="G23" s="311"/>
      <c r="H23" s="312"/>
      <c r="I23" s="13" t="s">
        <v>19</v>
      </c>
      <c r="J23" s="18"/>
      <c r="K23" s="305" t="s">
        <v>16</v>
      </c>
      <c r="L23" s="306"/>
    </row>
    <row r="24" spans="1:17">
      <c r="A24" s="21">
        <v>1</v>
      </c>
      <c r="B24" s="278" t="s">
        <v>114</v>
      </c>
      <c r="C24" s="313"/>
      <c r="D24" s="313"/>
      <c r="E24" s="313"/>
      <c r="F24" s="313"/>
      <c r="G24" s="313"/>
      <c r="H24" s="280"/>
      <c r="I24" s="21" t="s">
        <v>103</v>
      </c>
      <c r="J24" s="54">
        <v>1</v>
      </c>
      <c r="K24" s="307">
        <v>1276</v>
      </c>
      <c r="L24" s="308"/>
    </row>
    <row r="25" spans="1:17">
      <c r="A25" s="21">
        <f t="shared" ref="A25:A48" si="0">1+A24</f>
        <v>2</v>
      </c>
      <c r="B25" s="278" t="s">
        <v>171</v>
      </c>
      <c r="C25" s="279"/>
      <c r="D25" s="279"/>
      <c r="E25" s="279"/>
      <c r="F25" s="279"/>
      <c r="G25" s="279"/>
      <c r="H25" s="280"/>
      <c r="I25" s="21" t="s">
        <v>103</v>
      </c>
      <c r="J25" s="54">
        <v>2</v>
      </c>
      <c r="K25" s="271">
        <f>265.38*2</f>
        <v>530.76</v>
      </c>
      <c r="L25" s="272"/>
      <c r="N25" t="s">
        <v>115</v>
      </c>
    </row>
    <row r="26" spans="1:17">
      <c r="A26" s="21">
        <f t="shared" si="0"/>
        <v>3</v>
      </c>
      <c r="B26" s="263" t="s">
        <v>106</v>
      </c>
      <c r="C26" s="264"/>
      <c r="D26" s="264"/>
      <c r="E26" s="264"/>
      <c r="F26" s="264"/>
      <c r="G26" s="264"/>
      <c r="H26" s="265"/>
      <c r="I26" s="42" t="s">
        <v>103</v>
      </c>
      <c r="J26" s="80">
        <v>30</v>
      </c>
      <c r="K26" s="269">
        <f>6.02*2*30</f>
        <v>361.2</v>
      </c>
      <c r="L26" s="270"/>
      <c r="N26" t="s">
        <v>117</v>
      </c>
    </row>
    <row r="27" spans="1:17">
      <c r="A27" s="21">
        <f t="shared" si="0"/>
        <v>4</v>
      </c>
      <c r="B27" s="263" t="s">
        <v>202</v>
      </c>
      <c r="C27" s="266"/>
      <c r="D27" s="266"/>
      <c r="E27" s="266"/>
      <c r="F27" s="266"/>
      <c r="G27" s="266"/>
      <c r="H27" s="265"/>
      <c r="I27" s="53" t="s">
        <v>103</v>
      </c>
      <c r="J27" s="53">
        <v>4</v>
      </c>
      <c r="K27" s="261">
        <f>180+24+16+1000</f>
        <v>1220</v>
      </c>
      <c r="L27" s="262"/>
    </row>
    <row r="28" spans="1:17">
      <c r="A28" s="21">
        <f t="shared" si="0"/>
        <v>5</v>
      </c>
      <c r="B28" s="263" t="s">
        <v>203</v>
      </c>
      <c r="C28" s="264"/>
      <c r="D28" s="264"/>
      <c r="E28" s="264"/>
      <c r="F28" s="264"/>
      <c r="G28" s="264"/>
      <c r="H28" s="265"/>
      <c r="I28" s="42" t="s">
        <v>103</v>
      </c>
      <c r="J28" s="80">
        <v>1</v>
      </c>
      <c r="K28" s="261">
        <v>278</v>
      </c>
      <c r="L28" s="262"/>
      <c r="N28" t="s">
        <v>177</v>
      </c>
    </row>
    <row r="29" spans="1:17">
      <c r="A29" s="21">
        <f t="shared" si="0"/>
        <v>6</v>
      </c>
      <c r="B29" s="263" t="s">
        <v>122</v>
      </c>
      <c r="C29" s="264"/>
      <c r="D29" s="264"/>
      <c r="E29" s="264"/>
      <c r="F29" s="264"/>
      <c r="G29" s="264"/>
      <c r="H29" s="265"/>
      <c r="I29" s="42" t="s">
        <v>103</v>
      </c>
      <c r="J29" s="80">
        <v>1</v>
      </c>
      <c r="K29" s="269">
        <v>700</v>
      </c>
      <c r="L29" s="270"/>
      <c r="N29" t="s">
        <v>116</v>
      </c>
    </row>
    <row r="30" spans="1:17">
      <c r="A30" s="21">
        <f t="shared" si="0"/>
        <v>7</v>
      </c>
      <c r="B30" s="263" t="s">
        <v>181</v>
      </c>
      <c r="C30" s="266"/>
      <c r="D30" s="266"/>
      <c r="E30" s="266"/>
      <c r="F30" s="266"/>
      <c r="G30" s="266"/>
      <c r="H30" s="265"/>
      <c r="I30" s="42" t="s">
        <v>103</v>
      </c>
      <c r="J30" s="78">
        <v>1</v>
      </c>
      <c r="K30" s="261">
        <v>600</v>
      </c>
      <c r="L30" s="262"/>
      <c r="M30" s="65"/>
      <c r="N30" t="s">
        <v>178</v>
      </c>
    </row>
    <row r="31" spans="1:17">
      <c r="A31" s="21">
        <f t="shared" si="0"/>
        <v>8</v>
      </c>
      <c r="B31" s="273" t="s">
        <v>205</v>
      </c>
      <c r="C31" s="274"/>
      <c r="D31" s="274"/>
      <c r="E31" s="274"/>
      <c r="F31" s="274"/>
      <c r="G31" s="274"/>
      <c r="H31" s="275"/>
      <c r="I31" s="79" t="s">
        <v>103</v>
      </c>
      <c r="J31" s="21">
        <v>2</v>
      </c>
      <c r="K31" s="276">
        <v>1450</v>
      </c>
      <c r="L31" s="277"/>
      <c r="Q31" s="66"/>
    </row>
    <row r="32" spans="1:17">
      <c r="A32" s="21">
        <f t="shared" si="0"/>
        <v>9</v>
      </c>
      <c r="B32" s="263" t="s">
        <v>189</v>
      </c>
      <c r="C32" s="264"/>
      <c r="D32" s="264"/>
      <c r="E32" s="264"/>
      <c r="F32" s="264"/>
      <c r="G32" s="264"/>
      <c r="H32" s="265"/>
      <c r="I32" s="42" t="s">
        <v>103</v>
      </c>
      <c r="J32" s="67">
        <v>2</v>
      </c>
      <c r="K32" s="269">
        <f>3180/6</f>
        <v>530</v>
      </c>
      <c r="L32" s="270"/>
      <c r="N32" s="48"/>
    </row>
    <row r="33" spans="1:18" ht="19.5" customHeight="1">
      <c r="A33" s="21">
        <f t="shared" si="0"/>
        <v>10</v>
      </c>
      <c r="B33" s="263" t="s">
        <v>217</v>
      </c>
      <c r="C33" s="264"/>
      <c r="D33" s="264"/>
      <c r="E33" s="264"/>
      <c r="F33" s="264"/>
      <c r="G33" s="264"/>
      <c r="H33" s="265"/>
      <c r="I33" s="42" t="s">
        <v>103</v>
      </c>
      <c r="J33" s="67">
        <v>1</v>
      </c>
      <c r="K33" s="269">
        <v>1198</v>
      </c>
      <c r="L33" s="270"/>
      <c r="N33" t="s">
        <v>120</v>
      </c>
    </row>
    <row r="34" spans="1:18" ht="19.5" customHeight="1">
      <c r="A34" s="21">
        <f t="shared" si="0"/>
        <v>11</v>
      </c>
      <c r="B34" s="263" t="s">
        <v>228</v>
      </c>
      <c r="C34" s="266"/>
      <c r="D34" s="266"/>
      <c r="E34" s="266"/>
      <c r="F34" s="266"/>
      <c r="G34" s="266"/>
      <c r="H34" s="266"/>
      <c r="I34" s="21" t="s">
        <v>121</v>
      </c>
      <c r="J34" s="94">
        <v>42</v>
      </c>
      <c r="K34" s="271">
        <f>(10000+18500+18500)*0.075</f>
        <v>3525</v>
      </c>
      <c r="L34" s="272"/>
    </row>
    <row r="35" spans="1:18" ht="19.5" customHeight="1">
      <c r="A35" s="21">
        <f t="shared" si="0"/>
        <v>12</v>
      </c>
      <c r="B35" s="263" t="s">
        <v>229</v>
      </c>
      <c r="C35" s="266"/>
      <c r="D35" s="266"/>
      <c r="E35" s="266"/>
      <c r="F35" s="266"/>
      <c r="G35" s="266"/>
      <c r="H35" s="266"/>
      <c r="I35" s="21" t="s">
        <v>103</v>
      </c>
      <c r="J35" s="94">
        <v>1</v>
      </c>
      <c r="K35" s="271">
        <f>(3000+10000)*0.075</f>
        <v>975</v>
      </c>
      <c r="L35" s="272"/>
    </row>
    <row r="36" spans="1:18" ht="19.5" customHeight="1">
      <c r="A36" s="21">
        <f t="shared" si="0"/>
        <v>13</v>
      </c>
      <c r="B36" s="263" t="s">
        <v>230</v>
      </c>
      <c r="C36" s="266"/>
      <c r="D36" s="266"/>
      <c r="E36" s="266"/>
      <c r="F36" s="266"/>
      <c r="G36" s="266"/>
      <c r="H36" s="266"/>
      <c r="I36" s="21" t="s">
        <v>103</v>
      </c>
      <c r="J36" s="94">
        <v>1</v>
      </c>
      <c r="K36" s="271">
        <f>15000*0.075</f>
        <v>1125</v>
      </c>
      <c r="L36" s="272"/>
    </row>
    <row r="37" spans="1:18">
      <c r="A37" s="21">
        <f t="shared" si="0"/>
        <v>14</v>
      </c>
      <c r="B37" s="263" t="s">
        <v>231</v>
      </c>
      <c r="C37" s="266"/>
      <c r="D37" s="266"/>
      <c r="E37" s="266"/>
      <c r="F37" s="266"/>
      <c r="G37" s="266"/>
      <c r="H37" s="266"/>
      <c r="I37" s="95" t="s">
        <v>103</v>
      </c>
      <c r="J37" s="96">
        <v>1</v>
      </c>
      <c r="K37" s="271">
        <f>77506*0.075</f>
        <v>5812.95</v>
      </c>
      <c r="L37" s="272"/>
    </row>
    <row r="38" spans="1:18">
      <c r="A38" s="21">
        <f t="shared" si="0"/>
        <v>15</v>
      </c>
      <c r="B38" s="263" t="s">
        <v>232</v>
      </c>
      <c r="C38" s="266"/>
      <c r="D38" s="266"/>
      <c r="E38" s="266"/>
      <c r="F38" s="266"/>
      <c r="G38" s="266"/>
      <c r="H38" s="266"/>
      <c r="I38" s="95" t="s">
        <v>227</v>
      </c>
      <c r="J38" s="96">
        <v>160</v>
      </c>
      <c r="K38" s="271">
        <f>(16274+7000)*0.075</f>
        <v>1745.55</v>
      </c>
      <c r="L38" s="272"/>
    </row>
    <row r="39" spans="1:18">
      <c r="A39" s="21">
        <f t="shared" si="0"/>
        <v>16</v>
      </c>
      <c r="B39" s="263" t="s">
        <v>233</v>
      </c>
      <c r="C39" s="266"/>
      <c r="D39" s="266"/>
      <c r="E39" s="266"/>
      <c r="F39" s="266"/>
      <c r="G39" s="266"/>
      <c r="H39" s="266"/>
      <c r="I39" s="21" t="s">
        <v>103</v>
      </c>
      <c r="J39" s="94">
        <v>1</v>
      </c>
      <c r="K39" s="276">
        <f>(5880+2000)/2*0.075</f>
        <v>295.5</v>
      </c>
      <c r="L39" s="277"/>
    </row>
    <row r="40" spans="1:18">
      <c r="A40" s="21">
        <f t="shared" si="0"/>
        <v>17</v>
      </c>
      <c r="B40" s="92" t="s">
        <v>234</v>
      </c>
      <c r="C40" s="93"/>
      <c r="D40" s="93"/>
      <c r="E40" s="93"/>
      <c r="F40" s="93"/>
      <c r="G40" s="93"/>
      <c r="H40" s="93"/>
      <c r="I40" s="21" t="s">
        <v>103</v>
      </c>
      <c r="J40" s="94">
        <v>1</v>
      </c>
      <c r="K40" s="276">
        <f>24517.74*0.075</f>
        <v>1838.8305</v>
      </c>
      <c r="L40" s="277"/>
    </row>
    <row r="41" spans="1:18">
      <c r="A41" s="21">
        <f t="shared" si="0"/>
        <v>18</v>
      </c>
      <c r="B41" s="263" t="s">
        <v>179</v>
      </c>
      <c r="C41" s="266"/>
      <c r="D41" s="266"/>
      <c r="E41" s="266"/>
      <c r="F41" s="266"/>
      <c r="G41" s="266"/>
      <c r="H41" s="265"/>
      <c r="I41" s="42" t="s">
        <v>121</v>
      </c>
      <c r="J41" s="67">
        <v>521.5</v>
      </c>
      <c r="K41" s="261">
        <v>1600</v>
      </c>
      <c r="L41" s="262"/>
    </row>
    <row r="42" spans="1:18">
      <c r="A42" s="21">
        <f t="shared" si="0"/>
        <v>19</v>
      </c>
      <c r="B42" s="263" t="s">
        <v>180</v>
      </c>
      <c r="C42" s="266"/>
      <c r="D42" s="266"/>
      <c r="E42" s="266"/>
      <c r="F42" s="266"/>
      <c r="G42" s="266"/>
      <c r="H42" s="265"/>
      <c r="I42" s="42" t="s">
        <v>121</v>
      </c>
      <c r="J42" s="67">
        <v>521.5</v>
      </c>
      <c r="K42" s="261">
        <v>1600</v>
      </c>
      <c r="L42" s="262"/>
    </row>
    <row r="43" spans="1:18">
      <c r="A43" s="21">
        <f t="shared" si="0"/>
        <v>20</v>
      </c>
      <c r="B43" s="263" t="s">
        <v>213</v>
      </c>
      <c r="C43" s="266"/>
      <c r="D43" s="266"/>
      <c r="E43" s="266"/>
      <c r="F43" s="266"/>
      <c r="G43" s="266"/>
      <c r="H43" s="265"/>
      <c r="I43" s="42" t="s">
        <v>108</v>
      </c>
      <c r="J43" s="67">
        <v>10</v>
      </c>
      <c r="K43" s="261">
        <f>1734.96*0.18</f>
        <v>312.2928</v>
      </c>
      <c r="L43" s="262"/>
      <c r="N43" s="59" t="s">
        <v>118</v>
      </c>
    </row>
    <row r="44" spans="1:18">
      <c r="A44" s="21">
        <f t="shared" si="0"/>
        <v>21</v>
      </c>
      <c r="B44" s="263" t="s">
        <v>214</v>
      </c>
      <c r="C44" s="266"/>
      <c r="D44" s="266"/>
      <c r="E44" s="266"/>
      <c r="F44" s="266"/>
      <c r="G44" s="266"/>
      <c r="H44" s="265"/>
      <c r="I44" s="42" t="s">
        <v>108</v>
      </c>
      <c r="J44" s="67">
        <v>18</v>
      </c>
      <c r="K44" s="271">
        <f>3122.92*0.18</f>
        <v>562.12559999999996</v>
      </c>
      <c r="L44" s="272"/>
      <c r="N44" s="49"/>
    </row>
    <row r="45" spans="1:18">
      <c r="A45" s="21">
        <f t="shared" si="0"/>
        <v>22</v>
      </c>
      <c r="B45" s="263" t="s">
        <v>182</v>
      </c>
      <c r="C45" s="264"/>
      <c r="D45" s="264"/>
      <c r="E45" s="264"/>
      <c r="F45" s="264"/>
      <c r="G45" s="264"/>
      <c r="H45" s="265"/>
      <c r="I45" s="42" t="s">
        <v>103</v>
      </c>
      <c r="J45" s="67">
        <v>1</v>
      </c>
      <c r="K45" s="269">
        <f>6250*0.3335</f>
        <v>2084.375</v>
      </c>
      <c r="L45" s="270"/>
      <c r="N45" s="49"/>
      <c r="O45" t="s">
        <v>168</v>
      </c>
    </row>
    <row r="46" spans="1:18">
      <c r="A46" s="21">
        <f t="shared" si="0"/>
        <v>23</v>
      </c>
      <c r="B46" s="263" t="s">
        <v>183</v>
      </c>
      <c r="C46" s="264"/>
      <c r="D46" s="264"/>
      <c r="E46" s="264"/>
      <c r="F46" s="264"/>
      <c r="G46" s="264"/>
      <c r="H46" s="265"/>
      <c r="I46" s="42" t="s">
        <v>103</v>
      </c>
      <c r="J46" s="67">
        <v>1</v>
      </c>
      <c r="K46" s="269">
        <f>5480*0.3335</f>
        <v>1827.5800000000002</v>
      </c>
      <c r="L46" s="270"/>
      <c r="N46" t="s">
        <v>169</v>
      </c>
    </row>
    <row r="47" spans="1:18">
      <c r="A47" s="21">
        <f t="shared" si="0"/>
        <v>24</v>
      </c>
      <c r="B47" s="263" t="s">
        <v>184</v>
      </c>
      <c r="C47" s="266"/>
      <c r="D47" s="266"/>
      <c r="E47" s="266"/>
      <c r="F47" s="266"/>
      <c r="G47" s="266"/>
      <c r="H47" s="265"/>
      <c r="I47" s="42" t="s">
        <v>103</v>
      </c>
      <c r="J47" s="67">
        <v>1</v>
      </c>
      <c r="K47" s="261">
        <f>1500*0.3335</f>
        <v>500.25</v>
      </c>
      <c r="L47" s="262"/>
    </row>
    <row r="48" spans="1:18">
      <c r="A48" s="21">
        <f t="shared" si="0"/>
        <v>25</v>
      </c>
      <c r="B48" s="263" t="s">
        <v>185</v>
      </c>
      <c r="C48" s="264"/>
      <c r="D48" s="264"/>
      <c r="E48" s="264"/>
      <c r="F48" s="264"/>
      <c r="G48" s="264"/>
      <c r="H48" s="265"/>
      <c r="I48" s="42" t="s">
        <v>103</v>
      </c>
      <c r="J48" s="67">
        <v>1</v>
      </c>
      <c r="K48" s="267">
        <f>(80+40+60+20+3000)*0.3335</f>
        <v>1067.2</v>
      </c>
      <c r="L48" s="268"/>
      <c r="N48" s="50"/>
      <c r="O48" s="76"/>
      <c r="P48" s="76"/>
      <c r="Q48" s="76"/>
      <c r="R48" s="76"/>
    </row>
    <row r="49" spans="1:15">
      <c r="A49" s="42">
        <f t="shared" ref="A49:A56" si="1">A48+1</f>
        <v>26</v>
      </c>
      <c r="B49" s="263" t="s">
        <v>216</v>
      </c>
      <c r="C49" s="266"/>
      <c r="D49" s="266"/>
      <c r="E49" s="266"/>
      <c r="F49" s="266"/>
      <c r="G49" s="266"/>
      <c r="H49" s="265"/>
      <c r="I49" s="42" t="s">
        <v>103</v>
      </c>
      <c r="J49" s="42">
        <v>1</v>
      </c>
      <c r="K49" s="269">
        <v>700</v>
      </c>
      <c r="L49" s="270"/>
      <c r="O49" t="s">
        <v>170</v>
      </c>
    </row>
    <row r="50" spans="1:15">
      <c r="A50" s="42">
        <f t="shared" si="1"/>
        <v>27</v>
      </c>
      <c r="B50" s="263" t="s">
        <v>186</v>
      </c>
      <c r="C50" s="264"/>
      <c r="D50" s="264"/>
      <c r="E50" s="264"/>
      <c r="F50" s="264"/>
      <c r="G50" s="264"/>
      <c r="H50" s="265"/>
      <c r="I50" s="42" t="s">
        <v>103</v>
      </c>
      <c r="J50" s="67">
        <v>4</v>
      </c>
      <c r="K50" s="269">
        <f>490*4*0.3335</f>
        <v>653.66000000000008</v>
      </c>
      <c r="L50" s="270"/>
      <c r="N50" s="50"/>
    </row>
    <row r="51" spans="1:15">
      <c r="A51" s="42">
        <f t="shared" si="1"/>
        <v>28</v>
      </c>
      <c r="B51" s="263" t="s">
        <v>187</v>
      </c>
      <c r="C51" s="266"/>
      <c r="D51" s="266"/>
      <c r="E51" s="266"/>
      <c r="F51" s="266"/>
      <c r="G51" s="266"/>
      <c r="H51" s="265"/>
      <c r="I51" s="42" t="s">
        <v>103</v>
      </c>
      <c r="J51" s="53">
        <v>4</v>
      </c>
      <c r="K51" s="269">
        <f>180*4*0.3335</f>
        <v>240.12</v>
      </c>
      <c r="L51" s="270"/>
    </row>
    <row r="52" spans="1:15">
      <c r="A52" s="42">
        <f t="shared" si="1"/>
        <v>29</v>
      </c>
      <c r="B52" s="263" t="s">
        <v>219</v>
      </c>
      <c r="C52" s="266"/>
      <c r="D52" s="266"/>
      <c r="E52" s="266"/>
      <c r="F52" s="266"/>
      <c r="G52" s="266"/>
      <c r="H52" s="265"/>
      <c r="I52" s="42" t="s">
        <v>103</v>
      </c>
      <c r="J52" s="88">
        <v>1</v>
      </c>
      <c r="K52" s="261">
        <f>12720.4*0.3335</f>
        <v>4242.2534000000005</v>
      </c>
      <c r="L52" s="262"/>
      <c r="N52" s="65" t="s">
        <v>220</v>
      </c>
      <c r="O52" s="65"/>
    </row>
    <row r="53" spans="1:15">
      <c r="A53" s="42">
        <f t="shared" si="1"/>
        <v>30</v>
      </c>
      <c r="B53" s="263" t="s">
        <v>188</v>
      </c>
      <c r="C53" s="266"/>
      <c r="D53" s="266"/>
      <c r="E53" s="266"/>
      <c r="F53" s="266"/>
      <c r="G53" s="266"/>
      <c r="H53" s="265"/>
      <c r="I53" s="42" t="s">
        <v>103</v>
      </c>
      <c r="J53" s="53">
        <v>1</v>
      </c>
      <c r="K53" s="322">
        <f>(12940+6992)*0.3335</f>
        <v>6647.3220000000001</v>
      </c>
      <c r="L53" s="323"/>
      <c r="N53" t="s">
        <v>123</v>
      </c>
    </row>
    <row r="54" spans="1:15">
      <c r="A54" s="42">
        <f t="shared" si="1"/>
        <v>31</v>
      </c>
      <c r="B54" s="263" t="s">
        <v>204</v>
      </c>
      <c r="C54" s="266"/>
      <c r="D54" s="266"/>
      <c r="E54" s="266"/>
      <c r="F54" s="266"/>
      <c r="G54" s="266"/>
      <c r="H54" s="265"/>
      <c r="I54" s="42" t="s">
        <v>107</v>
      </c>
      <c r="J54" s="53">
        <v>4</v>
      </c>
      <c r="K54" s="269">
        <f>2000*4*0.3335</f>
        <v>2668</v>
      </c>
      <c r="L54" s="270"/>
    </row>
    <row r="55" spans="1:15">
      <c r="A55" s="42">
        <f t="shared" si="1"/>
        <v>32</v>
      </c>
      <c r="B55" s="263" t="s">
        <v>235</v>
      </c>
      <c r="C55" s="266"/>
      <c r="D55" s="266"/>
      <c r="E55" s="266"/>
      <c r="F55" s="266"/>
      <c r="G55" s="266"/>
      <c r="H55" s="265"/>
      <c r="I55" s="42" t="s">
        <v>103</v>
      </c>
      <c r="J55" s="53">
        <v>1</v>
      </c>
      <c r="K55" s="261">
        <f>4630*0.075</f>
        <v>347.25</v>
      </c>
      <c r="L55" s="262"/>
    </row>
    <row r="56" spans="1:15">
      <c r="A56" s="42">
        <f t="shared" si="1"/>
        <v>33</v>
      </c>
      <c r="B56" s="263" t="s">
        <v>236</v>
      </c>
      <c r="C56" s="266"/>
      <c r="D56" s="266"/>
      <c r="E56" s="266"/>
      <c r="F56" s="266"/>
      <c r="G56" s="266"/>
      <c r="H56" s="265"/>
      <c r="I56" s="42" t="s">
        <v>103</v>
      </c>
      <c r="J56" s="53">
        <v>1</v>
      </c>
      <c r="K56" s="261">
        <f>7750*0.075</f>
        <v>581.25</v>
      </c>
      <c r="L56" s="262"/>
    </row>
    <row r="57" spans="1:15">
      <c r="A57" s="21"/>
      <c r="B57" s="263" t="s">
        <v>21</v>
      </c>
      <c r="C57" s="266"/>
      <c r="D57" s="266"/>
      <c r="E57" s="266"/>
      <c r="F57" s="266"/>
      <c r="G57" s="266"/>
      <c r="H57" s="265"/>
      <c r="I57" s="81"/>
      <c r="J57" s="53"/>
      <c r="K57" s="269">
        <f>SUM(K24:L56)</f>
        <v>49095.469300000004</v>
      </c>
      <c r="L57" s="270"/>
    </row>
    <row r="58" spans="1:15" ht="15.75" thickBot="1">
      <c r="A58" s="21"/>
      <c r="B58" s="278" t="s">
        <v>102</v>
      </c>
      <c r="C58" s="279"/>
      <c r="D58" s="279"/>
      <c r="E58" s="279"/>
      <c r="F58" s="279"/>
      <c r="G58" s="279"/>
      <c r="H58" s="280"/>
      <c r="I58" s="19"/>
      <c r="J58" s="52"/>
      <c r="K58" s="284">
        <f>K57*0.12</f>
        <v>5891.4563160000007</v>
      </c>
      <c r="L58" s="285"/>
    </row>
    <row r="59" spans="1:15" ht="14.25" customHeight="1" thickBot="1">
      <c r="A59" s="20"/>
      <c r="B59" s="22" t="s">
        <v>22</v>
      </c>
      <c r="C59" s="23"/>
      <c r="D59" s="23"/>
      <c r="E59" s="23"/>
      <c r="F59" s="23"/>
      <c r="G59" s="23"/>
      <c r="H59" s="24"/>
      <c r="I59" s="20"/>
      <c r="J59" s="20"/>
      <c r="K59" s="289">
        <f>SUM(K57:L58)</f>
        <v>54986.925616000008</v>
      </c>
      <c r="L59" s="290"/>
    </row>
    <row r="60" spans="1:15" ht="24" customHeight="1">
      <c r="A60" t="s">
        <v>23</v>
      </c>
    </row>
    <row r="61" spans="1:15">
      <c r="A61" t="s">
        <v>25</v>
      </c>
      <c r="D61" s="2">
        <v>2012</v>
      </c>
      <c r="E61" t="s">
        <v>26</v>
      </c>
      <c r="G61" s="26">
        <f>K59-G20</f>
        <v>34136.725616000011</v>
      </c>
      <c r="H61" t="s">
        <v>27</v>
      </c>
    </row>
    <row r="62" spans="1:15" ht="24" customHeight="1" thickBot="1">
      <c r="A62" t="s">
        <v>28</v>
      </c>
      <c r="B62" s="2" t="str">
        <f>I4</f>
        <v>период</v>
      </c>
      <c r="C62" t="s">
        <v>31</v>
      </c>
    </row>
    <row r="63" spans="1:15" ht="15.75" customHeight="1">
      <c r="A63" s="15" t="s">
        <v>2</v>
      </c>
      <c r="B63" s="291" t="s">
        <v>41</v>
      </c>
      <c r="C63" s="292"/>
      <c r="D63" s="292"/>
      <c r="E63" s="292"/>
      <c r="F63" s="291" t="s">
        <v>42</v>
      </c>
      <c r="G63" s="292"/>
      <c r="H63" s="293"/>
      <c r="I63" s="291" t="s">
        <v>43</v>
      </c>
      <c r="J63" s="292"/>
      <c r="K63" s="292"/>
      <c r="L63" s="293"/>
    </row>
    <row r="64" spans="1:15" ht="15.75" customHeight="1" thickBot="1">
      <c r="A64" s="16"/>
      <c r="B64" s="297"/>
      <c r="C64" s="298"/>
      <c r="D64" s="298"/>
      <c r="E64" s="298"/>
      <c r="F64" s="297"/>
      <c r="G64" s="298"/>
      <c r="H64" s="299"/>
      <c r="I64" s="297" t="s">
        <v>104</v>
      </c>
      <c r="J64" s="298"/>
      <c r="K64" s="298"/>
      <c r="L64" s="299"/>
    </row>
    <row r="65" spans="1:12">
      <c r="A65" s="30" t="s">
        <v>34</v>
      </c>
      <c r="B65" s="294" t="s">
        <v>44</v>
      </c>
      <c r="C65" s="295"/>
      <c r="D65" s="295"/>
      <c r="E65" s="296"/>
      <c r="F65" s="281" t="s">
        <v>109</v>
      </c>
      <c r="G65" s="282"/>
      <c r="H65" s="283"/>
      <c r="I65" s="281" t="s">
        <v>110</v>
      </c>
      <c r="J65" s="282"/>
      <c r="K65" s="282"/>
      <c r="L65" s="283"/>
    </row>
    <row r="66" spans="1:12">
      <c r="A66" s="21" t="s">
        <v>35</v>
      </c>
      <c r="B66" s="278" t="s">
        <v>45</v>
      </c>
      <c r="C66" s="279"/>
      <c r="D66" s="279"/>
      <c r="E66" s="280"/>
      <c r="F66" s="286" t="s">
        <v>111</v>
      </c>
      <c r="G66" s="287"/>
      <c r="H66" s="288"/>
      <c r="I66" s="286" t="s">
        <v>51</v>
      </c>
      <c r="J66" s="287"/>
      <c r="K66" s="287"/>
      <c r="L66" s="288"/>
    </row>
    <row r="67" spans="1:12">
      <c r="A67" s="21" t="s">
        <v>36</v>
      </c>
      <c r="B67" s="278" t="s">
        <v>46</v>
      </c>
      <c r="C67" s="279"/>
      <c r="D67" s="279"/>
      <c r="E67" s="280"/>
      <c r="F67" s="286" t="s">
        <v>112</v>
      </c>
      <c r="G67" s="287"/>
      <c r="H67" s="288"/>
      <c r="I67" s="286" t="s">
        <v>52</v>
      </c>
      <c r="J67" s="287"/>
      <c r="K67" s="287"/>
      <c r="L67" s="288"/>
    </row>
    <row r="68" spans="1:12">
      <c r="A68" s="21" t="s">
        <v>37</v>
      </c>
      <c r="B68" s="278" t="s">
        <v>47</v>
      </c>
      <c r="C68" s="279"/>
      <c r="D68" s="279"/>
      <c r="E68" s="280"/>
      <c r="F68" s="319" t="s">
        <v>218</v>
      </c>
      <c r="G68" s="320"/>
      <c r="H68" s="321"/>
      <c r="I68" s="286" t="s">
        <v>82</v>
      </c>
      <c r="J68" s="287"/>
      <c r="K68" s="287"/>
      <c r="L68" s="288"/>
    </row>
    <row r="69" spans="1:12">
      <c r="A69" s="21" t="s">
        <v>38</v>
      </c>
      <c r="B69" s="278" t="s">
        <v>48</v>
      </c>
      <c r="C69" s="279"/>
      <c r="D69" s="279"/>
      <c r="E69" s="280"/>
      <c r="F69" s="286" t="s">
        <v>83</v>
      </c>
      <c r="G69" s="287"/>
      <c r="H69" s="288"/>
      <c r="I69" s="286" t="s">
        <v>84</v>
      </c>
      <c r="J69" s="287"/>
      <c r="K69" s="287"/>
      <c r="L69" s="288"/>
    </row>
    <row r="70" spans="1:12">
      <c r="A70" s="21" t="s">
        <v>39</v>
      </c>
      <c r="B70" s="278" t="s">
        <v>49</v>
      </c>
      <c r="C70" s="279"/>
      <c r="D70" s="279"/>
      <c r="E70" s="280"/>
      <c r="F70" s="286" t="s">
        <v>85</v>
      </c>
      <c r="G70" s="287"/>
      <c r="H70" s="288"/>
      <c r="I70" s="286" t="s">
        <v>86</v>
      </c>
      <c r="J70" s="287"/>
      <c r="K70" s="287"/>
      <c r="L70" s="288"/>
    </row>
    <row r="71" spans="1:12" ht="15.75" thickBot="1">
      <c r="A71" s="31" t="s">
        <v>40</v>
      </c>
      <c r="B71" s="316" t="s">
        <v>50</v>
      </c>
      <c r="C71" s="317"/>
      <c r="D71" s="317"/>
      <c r="E71" s="318"/>
      <c r="F71" s="310" t="s">
        <v>87</v>
      </c>
      <c r="G71" s="311"/>
      <c r="H71" s="312"/>
      <c r="I71" s="310" t="s">
        <v>88</v>
      </c>
      <c r="J71" s="311"/>
      <c r="K71" s="311"/>
      <c r="L71" s="312"/>
    </row>
    <row r="73" spans="1:12">
      <c r="A73" s="34" t="s">
        <v>55</v>
      </c>
      <c r="B73" s="2">
        <v>2013</v>
      </c>
      <c r="C73" t="s">
        <v>56</v>
      </c>
    </row>
    <row r="74" spans="1:12">
      <c r="A74" s="32" t="s">
        <v>135</v>
      </c>
    </row>
    <row r="75" spans="1:12">
      <c r="A75" s="55" t="s">
        <v>134</v>
      </c>
    </row>
    <row r="76" spans="1:12">
      <c r="A76" s="32" t="s">
        <v>53</v>
      </c>
      <c r="F76" s="8">
        <f>5.45</f>
        <v>5.45</v>
      </c>
      <c r="G76" t="s">
        <v>54</v>
      </c>
    </row>
    <row r="77" spans="1:12">
      <c r="A77" s="32" t="s">
        <v>127</v>
      </c>
      <c r="C77" s="72">
        <v>17.850000000000001</v>
      </c>
      <c r="D77" t="s">
        <v>128</v>
      </c>
      <c r="G77" s="73">
        <v>1.9203999999999999E-2</v>
      </c>
      <c r="H77" t="s">
        <v>129</v>
      </c>
    </row>
    <row r="78" spans="1:12">
      <c r="A78" s="89" t="s">
        <v>221</v>
      </c>
      <c r="E78" s="56">
        <v>2012</v>
      </c>
      <c r="F78" t="s">
        <v>222</v>
      </c>
      <c r="G78" s="56"/>
      <c r="K78" s="56">
        <v>2013</v>
      </c>
      <c r="L78" t="s">
        <v>130</v>
      </c>
    </row>
    <row r="79" spans="1:12">
      <c r="A79" s="32" t="s">
        <v>131</v>
      </c>
    </row>
    <row r="80" spans="1:12">
      <c r="A80" s="83" t="s">
        <v>206</v>
      </c>
    </row>
    <row r="81" spans="1:11">
      <c r="A81" s="32" t="s">
        <v>132</v>
      </c>
    </row>
    <row r="82" spans="1:11">
      <c r="A82" s="83" t="s">
        <v>207</v>
      </c>
    </row>
    <row r="83" spans="1:11">
      <c r="A83" s="83" t="s">
        <v>215</v>
      </c>
    </row>
    <row r="84" spans="1:11">
      <c r="A84" s="32" t="s">
        <v>133</v>
      </c>
    </row>
    <row r="85" spans="1:11" ht="13.5" customHeight="1">
      <c r="A85" s="44"/>
      <c r="B85" s="45"/>
      <c r="C85" s="45"/>
      <c r="D85" s="45"/>
      <c r="E85" s="45"/>
      <c r="F85" s="45"/>
      <c r="G85" s="45"/>
      <c r="H85" s="45"/>
      <c r="I85" s="45"/>
      <c r="J85" s="45"/>
      <c r="K85" s="45"/>
    </row>
    <row r="86" spans="1:11">
      <c r="A86" s="32" t="s">
        <v>113</v>
      </c>
      <c r="B86" s="2">
        <v>2013</v>
      </c>
      <c r="C86" t="s">
        <v>58</v>
      </c>
    </row>
    <row r="87" spans="1:11">
      <c r="A87" s="32" t="s">
        <v>59</v>
      </c>
    </row>
    <row r="88" spans="1:11">
      <c r="A88" s="32" t="s">
        <v>61</v>
      </c>
      <c r="J88" s="57">
        <v>1500</v>
      </c>
      <c r="K88" t="s">
        <v>10</v>
      </c>
    </row>
    <row r="89" spans="1:11">
      <c r="A89" s="32" t="s">
        <v>89</v>
      </c>
      <c r="J89" s="57">
        <v>15000</v>
      </c>
      <c r="K89" t="s">
        <v>10</v>
      </c>
    </row>
    <row r="90" spans="1:11">
      <c r="A90" s="32" t="s">
        <v>62</v>
      </c>
      <c r="J90" s="57">
        <v>8000</v>
      </c>
      <c r="K90" t="s">
        <v>10</v>
      </c>
    </row>
    <row r="91" spans="1:11">
      <c r="A91" s="32" t="s">
        <v>63</v>
      </c>
      <c r="J91" s="57">
        <v>8000</v>
      </c>
      <c r="K91" t="s">
        <v>10</v>
      </c>
    </row>
    <row r="92" spans="1:11">
      <c r="A92" s="89" t="s">
        <v>223</v>
      </c>
      <c r="J92" s="57">
        <v>7000</v>
      </c>
      <c r="K92" t="s">
        <v>10</v>
      </c>
    </row>
    <row r="93" spans="1:11">
      <c r="A93" s="89" t="s">
        <v>224</v>
      </c>
      <c r="J93" s="57">
        <v>5000</v>
      </c>
      <c r="K93" t="s">
        <v>10</v>
      </c>
    </row>
    <row r="94" spans="1:11">
      <c r="A94" s="89" t="s">
        <v>225</v>
      </c>
      <c r="J94" s="57">
        <v>20000</v>
      </c>
      <c r="K94" t="s">
        <v>10</v>
      </c>
    </row>
    <row r="95" spans="1:11">
      <c r="A95" s="35" t="s">
        <v>64</v>
      </c>
      <c r="J95" s="58">
        <f>SUM(J88:J94)</f>
        <v>64500</v>
      </c>
      <c r="K95" s="36" t="s">
        <v>65</v>
      </c>
    </row>
    <row r="96" spans="1:11">
      <c r="A96" s="32" t="s">
        <v>119</v>
      </c>
      <c r="H96" s="2">
        <v>2012</v>
      </c>
      <c r="I96" t="s">
        <v>74</v>
      </c>
      <c r="K96" s="7">
        <f>G61</f>
        <v>34136.725616000011</v>
      </c>
    </row>
    <row r="97" spans="1:34">
      <c r="A97" s="32" t="s">
        <v>67</v>
      </c>
      <c r="C97" s="26">
        <f>J95+K96</f>
        <v>98636.725616000011</v>
      </c>
      <c r="D97" s="2" t="s">
        <v>68</v>
      </c>
      <c r="E97" s="38">
        <v>2013</v>
      </c>
      <c r="F97" t="s">
        <v>70</v>
      </c>
      <c r="H97" s="85">
        <f>C97/(E7*12)</f>
        <v>7.2128177734877745</v>
      </c>
      <c r="I97" t="s">
        <v>71</v>
      </c>
    </row>
    <row r="99" spans="1:34">
      <c r="B99" t="s">
        <v>72</v>
      </c>
    </row>
    <row r="100" spans="1:34">
      <c r="B100" t="s">
        <v>42</v>
      </c>
      <c r="I100" t="s">
        <v>73</v>
      </c>
    </row>
    <row r="101" spans="1:34">
      <c r="K101" s="43" t="s">
        <v>237</v>
      </c>
    </row>
    <row r="102" spans="1:34" ht="15.75">
      <c r="A102" s="315"/>
      <c r="B102" s="315"/>
      <c r="C102" s="315"/>
      <c r="D102" s="315"/>
      <c r="E102" s="315"/>
      <c r="F102" s="315"/>
      <c r="G102" s="315"/>
      <c r="H102" s="315"/>
      <c r="I102" s="315"/>
      <c r="J102" s="315"/>
      <c r="K102" s="315"/>
      <c r="R102" s="36" t="s">
        <v>124</v>
      </c>
      <c r="S102" s="60" t="s">
        <v>125</v>
      </c>
      <c r="T102" s="61"/>
      <c r="U102" s="62">
        <v>40909</v>
      </c>
      <c r="V102" s="62">
        <v>40940</v>
      </c>
      <c r="W102" s="62">
        <v>40969</v>
      </c>
      <c r="X102" s="62">
        <v>41000</v>
      </c>
      <c r="Y102" s="62">
        <v>41030</v>
      </c>
      <c r="Z102" s="62">
        <v>41061</v>
      </c>
      <c r="AA102" s="62">
        <v>41091</v>
      </c>
      <c r="AB102" s="62">
        <v>41122</v>
      </c>
      <c r="AC102" s="62">
        <v>41153</v>
      </c>
      <c r="AD102" s="62">
        <v>41183</v>
      </c>
      <c r="AE102" s="62">
        <v>41214</v>
      </c>
      <c r="AF102" s="62">
        <v>41244</v>
      </c>
      <c r="AG102" s="36" t="s">
        <v>126</v>
      </c>
    </row>
    <row r="103" spans="1:34" ht="15.75">
      <c r="Q103" s="74" t="s">
        <v>136</v>
      </c>
      <c r="R103" s="75">
        <v>45.5</v>
      </c>
      <c r="S103" s="60">
        <v>4.74</v>
      </c>
      <c r="T103" s="64"/>
      <c r="U103" s="65"/>
      <c r="V103" s="65"/>
      <c r="W103" s="65"/>
      <c r="X103" s="65"/>
      <c r="Y103" s="71"/>
      <c r="Z103" s="66"/>
      <c r="AA103" s="66"/>
      <c r="AB103" s="66"/>
      <c r="AC103" s="66"/>
      <c r="AD103" s="66"/>
      <c r="AE103" s="66"/>
      <c r="AF103" s="66"/>
      <c r="AG103" s="56">
        <v>7</v>
      </c>
      <c r="AH103" s="7">
        <f t="shared" ref="AH103:AH132" si="2">R103*S103*AG103</f>
        <v>1509.69</v>
      </c>
    </row>
    <row r="104" spans="1:34" ht="15.75">
      <c r="Q104" s="74" t="s">
        <v>137</v>
      </c>
      <c r="R104" s="75">
        <v>33.6</v>
      </c>
      <c r="S104" s="60">
        <v>4.74</v>
      </c>
      <c r="T104" s="64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6"/>
      <c r="AF104" s="66"/>
      <c r="AG104" s="56">
        <v>2</v>
      </c>
      <c r="AH104" s="7">
        <f t="shared" si="2"/>
        <v>318.52800000000002</v>
      </c>
    </row>
    <row r="105" spans="1:34" ht="15.75">
      <c r="Q105" s="74" t="s">
        <v>138</v>
      </c>
      <c r="R105" s="75">
        <v>36.1</v>
      </c>
      <c r="S105" s="60">
        <v>4.74</v>
      </c>
      <c r="T105" s="64"/>
      <c r="U105" s="65"/>
      <c r="V105" s="65"/>
      <c r="W105" s="65"/>
      <c r="X105" s="65"/>
      <c r="Y105" s="65"/>
      <c r="Z105" s="65"/>
      <c r="AA105" s="65"/>
      <c r="AB105" s="65"/>
      <c r="AC105" s="66"/>
      <c r="AD105" s="66"/>
      <c r="AE105" s="66"/>
      <c r="AF105" s="66"/>
      <c r="AG105" s="67">
        <v>4</v>
      </c>
      <c r="AH105" s="7">
        <f t="shared" si="2"/>
        <v>684.45600000000002</v>
      </c>
    </row>
    <row r="106" spans="1:34" ht="15.75">
      <c r="Q106" s="74" t="s">
        <v>139</v>
      </c>
      <c r="R106" s="75">
        <v>36.299999999999997</v>
      </c>
      <c r="S106" s="60">
        <v>4.74</v>
      </c>
      <c r="T106" s="64"/>
      <c r="U106" s="65"/>
      <c r="V106" s="65"/>
      <c r="W106" s="65"/>
      <c r="X106" s="65"/>
      <c r="Y106" s="65"/>
      <c r="Z106" s="65"/>
      <c r="AA106" s="65"/>
      <c r="AB106" s="66"/>
      <c r="AC106" s="66"/>
      <c r="AD106" s="66"/>
      <c r="AE106" s="66"/>
      <c r="AF106" s="66"/>
      <c r="AG106" s="56">
        <v>5</v>
      </c>
      <c r="AH106" s="7">
        <f t="shared" si="2"/>
        <v>860.31</v>
      </c>
    </row>
    <row r="107" spans="1:34" ht="15.75">
      <c r="Q107" s="74" t="s">
        <v>140</v>
      </c>
      <c r="R107" s="75">
        <v>36.200000000000003</v>
      </c>
      <c r="S107" s="60">
        <v>4.74</v>
      </c>
      <c r="T107" s="64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6"/>
      <c r="AF107" s="66"/>
      <c r="AG107" s="56">
        <v>2</v>
      </c>
      <c r="AH107" s="7">
        <f t="shared" si="2"/>
        <v>343.17600000000004</v>
      </c>
    </row>
    <row r="108" spans="1:34" ht="15.75">
      <c r="P108" s="77" t="s">
        <v>166</v>
      </c>
      <c r="Q108" s="74" t="s">
        <v>141</v>
      </c>
      <c r="R108" s="75">
        <v>36.299999999999997</v>
      </c>
      <c r="S108" s="60">
        <v>4.74</v>
      </c>
      <c r="T108" s="64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56"/>
      <c r="AH108" s="7">
        <f t="shared" si="2"/>
        <v>0</v>
      </c>
    </row>
    <row r="109" spans="1:34" ht="15.75">
      <c r="Q109" s="74" t="s">
        <v>142</v>
      </c>
      <c r="R109" s="75">
        <v>36.299999999999997</v>
      </c>
      <c r="S109" s="60">
        <v>4.74</v>
      </c>
      <c r="T109" s="64"/>
      <c r="U109" s="65"/>
      <c r="V109" s="65"/>
      <c r="W109" s="65"/>
      <c r="X109" s="65"/>
      <c r="Y109" s="65"/>
      <c r="Z109" s="66"/>
      <c r="AA109" s="66"/>
      <c r="AB109" s="66"/>
      <c r="AC109" s="66"/>
      <c r="AD109" s="66"/>
      <c r="AE109" s="66"/>
      <c r="AF109" s="66"/>
      <c r="AG109" s="56">
        <v>7</v>
      </c>
      <c r="AH109" s="7">
        <f t="shared" si="2"/>
        <v>1204.434</v>
      </c>
    </row>
    <row r="110" spans="1:34" ht="15.75">
      <c r="L110" s="43"/>
      <c r="Q110" s="74" t="s">
        <v>143</v>
      </c>
      <c r="R110" s="75">
        <v>36.1</v>
      </c>
      <c r="S110" s="60">
        <v>4.74</v>
      </c>
      <c r="T110" s="64"/>
      <c r="U110" s="65"/>
      <c r="V110" s="65"/>
      <c r="W110" s="65"/>
      <c r="X110" s="65"/>
      <c r="Y110" s="65"/>
      <c r="Z110" s="66"/>
      <c r="AA110" s="66"/>
      <c r="AB110" s="66"/>
      <c r="AC110" s="66"/>
      <c r="AD110" s="66"/>
      <c r="AE110" s="66"/>
      <c r="AF110" s="66"/>
      <c r="AG110" s="56">
        <v>7</v>
      </c>
      <c r="AH110" s="7">
        <f t="shared" si="2"/>
        <v>1197.798</v>
      </c>
    </row>
    <row r="111" spans="1:34" ht="15.75">
      <c r="Q111" s="74" t="s">
        <v>144</v>
      </c>
      <c r="R111" s="75">
        <v>33.700000000000003</v>
      </c>
      <c r="S111" s="60">
        <v>4.74</v>
      </c>
      <c r="T111" s="64"/>
      <c r="U111" s="65"/>
      <c r="V111" s="65"/>
      <c r="W111" s="65"/>
      <c r="X111" s="65"/>
      <c r="Y111" s="65"/>
      <c r="Z111" s="65"/>
      <c r="AA111" s="65"/>
      <c r="AB111" s="66"/>
      <c r="AC111" s="66"/>
      <c r="AD111" s="66"/>
      <c r="AE111" s="66"/>
      <c r="AF111" s="66"/>
      <c r="AG111" s="56">
        <v>5</v>
      </c>
      <c r="AH111" s="7">
        <f t="shared" si="2"/>
        <v>798.69000000000017</v>
      </c>
    </row>
    <row r="112" spans="1:34" ht="15.75">
      <c r="Q112" s="74" t="s">
        <v>145</v>
      </c>
      <c r="R112" s="75">
        <v>45.6</v>
      </c>
      <c r="S112" s="60">
        <v>4.74</v>
      </c>
      <c r="T112" s="64"/>
      <c r="U112" s="65"/>
      <c r="V112" s="65"/>
      <c r="W112" s="65"/>
      <c r="X112" s="65"/>
      <c r="Y112" s="66"/>
      <c r="Z112" s="66"/>
      <c r="AA112" s="66"/>
      <c r="AB112" s="66"/>
      <c r="AC112" s="66"/>
      <c r="AD112" s="66"/>
      <c r="AE112" s="66"/>
      <c r="AF112" s="66"/>
      <c r="AG112" s="56">
        <v>8</v>
      </c>
      <c r="AH112" s="7">
        <f t="shared" si="2"/>
        <v>1729.152</v>
      </c>
    </row>
    <row r="113" spans="16:34" ht="15.75">
      <c r="Q113" s="74" t="s">
        <v>146</v>
      </c>
      <c r="R113" s="75">
        <v>48.8</v>
      </c>
      <c r="S113" s="60">
        <v>4.74</v>
      </c>
      <c r="T113" s="64"/>
      <c r="U113" s="65"/>
      <c r="V113" s="65"/>
      <c r="W113" s="65"/>
      <c r="X113" s="65"/>
      <c r="Y113" s="65"/>
      <c r="Z113" s="65"/>
      <c r="AA113" s="66"/>
      <c r="AB113" s="66"/>
      <c r="AC113" s="66"/>
      <c r="AD113" s="66"/>
      <c r="AE113" s="66"/>
      <c r="AF113" s="66"/>
      <c r="AG113" s="56">
        <v>6</v>
      </c>
      <c r="AH113" s="7">
        <f t="shared" si="2"/>
        <v>1387.8719999999998</v>
      </c>
    </row>
    <row r="114" spans="16:34" ht="15.75">
      <c r="Q114" s="74" t="s">
        <v>147</v>
      </c>
      <c r="R114" s="75">
        <v>33.4</v>
      </c>
      <c r="S114" s="60">
        <v>4.74</v>
      </c>
      <c r="T114" s="64"/>
      <c r="U114" s="65"/>
      <c r="V114" s="65"/>
      <c r="W114" s="65"/>
      <c r="X114" s="65"/>
      <c r="Y114" s="65"/>
      <c r="Z114" s="65"/>
      <c r="AA114" s="65"/>
      <c r="AB114" s="65"/>
      <c r="AC114" s="65"/>
      <c r="AD114" s="66"/>
      <c r="AE114" s="66"/>
      <c r="AF114" s="66"/>
      <c r="AG114" s="56">
        <v>3</v>
      </c>
      <c r="AH114" s="7">
        <f t="shared" si="2"/>
        <v>474.94799999999998</v>
      </c>
    </row>
    <row r="115" spans="16:34" ht="15.75">
      <c r="Q115" s="74" t="s">
        <v>148</v>
      </c>
      <c r="R115" s="75">
        <v>36</v>
      </c>
      <c r="S115" s="60">
        <v>4.74</v>
      </c>
      <c r="T115" s="64"/>
      <c r="U115" s="65"/>
      <c r="V115" s="65"/>
      <c r="W115" s="65"/>
      <c r="X115" s="65"/>
      <c r="Y115" s="65"/>
      <c r="Z115" s="65"/>
      <c r="AA115" s="65"/>
      <c r="AB115" s="65"/>
      <c r="AC115" s="66"/>
      <c r="AD115" s="66"/>
      <c r="AE115" s="66"/>
      <c r="AF115" s="66"/>
      <c r="AG115" s="56">
        <v>4</v>
      </c>
      <c r="AH115" s="7">
        <f t="shared" si="2"/>
        <v>682.56000000000006</v>
      </c>
    </row>
    <row r="116" spans="16:34" ht="15.75">
      <c r="Q116" s="74" t="s">
        <v>149</v>
      </c>
      <c r="R116" s="75">
        <v>36.299999999999997</v>
      </c>
      <c r="S116" s="60">
        <v>4.74</v>
      </c>
      <c r="T116" s="64"/>
      <c r="U116" s="65"/>
      <c r="V116" s="65"/>
      <c r="W116" s="65"/>
      <c r="X116" s="65"/>
      <c r="Y116" s="65"/>
      <c r="Z116" s="65"/>
      <c r="AA116" s="66"/>
      <c r="AB116" s="66"/>
      <c r="AC116" s="66"/>
      <c r="AD116" s="66"/>
      <c r="AE116" s="66"/>
      <c r="AF116" s="66"/>
      <c r="AG116" s="56">
        <v>6</v>
      </c>
      <c r="AH116" s="7">
        <f t="shared" si="2"/>
        <v>1032.3719999999998</v>
      </c>
    </row>
    <row r="117" spans="16:34" ht="15.75">
      <c r="Q117" s="74" t="s">
        <v>150</v>
      </c>
      <c r="R117" s="75">
        <v>36.299999999999997</v>
      </c>
      <c r="S117" s="60">
        <v>4.74</v>
      </c>
      <c r="T117" s="64"/>
      <c r="U117" s="65"/>
      <c r="V117" s="65"/>
      <c r="W117" s="65"/>
      <c r="X117" s="65"/>
      <c r="Y117" s="65"/>
      <c r="Z117" s="65"/>
      <c r="AA117" s="65"/>
      <c r="AB117" s="65"/>
      <c r="AC117" s="65"/>
      <c r="AD117" s="66"/>
      <c r="AE117" s="66"/>
      <c r="AF117" s="66"/>
      <c r="AG117" s="56">
        <v>3</v>
      </c>
      <c r="AH117" s="7">
        <f t="shared" si="2"/>
        <v>516.18599999999992</v>
      </c>
    </row>
    <row r="118" spans="16:34" ht="15.75">
      <c r="Q118" s="74" t="s">
        <v>151</v>
      </c>
      <c r="R118" s="75">
        <v>36.299999999999997</v>
      </c>
      <c r="S118" s="60">
        <v>4.74</v>
      </c>
      <c r="T118" s="64"/>
      <c r="U118" s="65"/>
      <c r="V118" s="65"/>
      <c r="W118" s="65"/>
      <c r="X118" s="65"/>
      <c r="Y118" s="65"/>
      <c r="Z118" s="65"/>
      <c r="AA118" s="65"/>
      <c r="AB118" s="65"/>
      <c r="AC118" s="66"/>
      <c r="AD118" s="66"/>
      <c r="AE118" s="66"/>
      <c r="AF118" s="66"/>
      <c r="AG118" s="67">
        <v>4</v>
      </c>
      <c r="AH118" s="7">
        <f t="shared" si="2"/>
        <v>688.24799999999993</v>
      </c>
    </row>
    <row r="119" spans="16:34" ht="15.75">
      <c r="Q119" s="74" t="s">
        <v>152</v>
      </c>
      <c r="R119" s="75">
        <v>36.4</v>
      </c>
      <c r="S119" s="60">
        <v>4.74</v>
      </c>
      <c r="T119" s="64"/>
      <c r="U119" s="65"/>
      <c r="V119" s="65"/>
      <c r="W119" s="65"/>
      <c r="X119" s="65"/>
      <c r="Y119" s="65"/>
      <c r="Z119" s="65"/>
      <c r="AA119" s="65"/>
      <c r="AB119" s="65"/>
      <c r="AC119" s="66"/>
      <c r="AD119" s="66"/>
      <c r="AE119" s="66"/>
      <c r="AF119" s="66"/>
      <c r="AG119" s="67">
        <v>4</v>
      </c>
      <c r="AH119" s="7">
        <f t="shared" si="2"/>
        <v>690.14400000000001</v>
      </c>
    </row>
    <row r="120" spans="16:34" ht="15.75">
      <c r="Q120" s="74" t="s">
        <v>153</v>
      </c>
      <c r="R120" s="75">
        <v>36</v>
      </c>
      <c r="S120" s="60">
        <v>4.74</v>
      </c>
      <c r="T120" s="64"/>
      <c r="U120" s="65"/>
      <c r="V120" s="65"/>
      <c r="W120" s="65"/>
      <c r="X120" s="65"/>
      <c r="Y120" s="65"/>
      <c r="Z120" s="65"/>
      <c r="AA120" s="65"/>
      <c r="AB120" s="65"/>
      <c r="AC120" s="65"/>
      <c r="AD120" s="66"/>
      <c r="AE120" s="66"/>
      <c r="AF120" s="66"/>
      <c r="AG120" s="67">
        <v>3</v>
      </c>
      <c r="AH120" s="7">
        <f t="shared" si="2"/>
        <v>511.92000000000007</v>
      </c>
    </row>
    <row r="121" spans="16:34" ht="15.75">
      <c r="P121" s="66" t="s">
        <v>167</v>
      </c>
      <c r="Q121" s="74" t="s">
        <v>154</v>
      </c>
      <c r="R121" s="75">
        <v>33.6</v>
      </c>
      <c r="S121" s="60">
        <v>4.74</v>
      </c>
      <c r="T121" s="64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7"/>
      <c r="AH121" s="7">
        <f t="shared" si="2"/>
        <v>0</v>
      </c>
    </row>
    <row r="122" spans="16:34" ht="15.75">
      <c r="Q122" s="74" t="s">
        <v>155</v>
      </c>
      <c r="R122" s="75">
        <v>48.6</v>
      </c>
      <c r="S122" s="60">
        <v>4.74</v>
      </c>
      <c r="T122" s="64"/>
      <c r="U122" s="65"/>
      <c r="V122" s="65"/>
      <c r="W122" s="65"/>
      <c r="X122" s="65"/>
      <c r="Y122" s="65"/>
      <c r="Z122" s="65"/>
      <c r="AA122" s="66"/>
      <c r="AB122" s="66"/>
      <c r="AC122" s="66"/>
      <c r="AD122" s="66"/>
      <c r="AE122" s="66"/>
      <c r="AF122" s="66"/>
      <c r="AG122" s="67">
        <v>6</v>
      </c>
      <c r="AH122" s="7">
        <f t="shared" si="2"/>
        <v>1382.184</v>
      </c>
    </row>
    <row r="123" spans="16:34" ht="15.75">
      <c r="Q123" s="74" t="s">
        <v>156</v>
      </c>
      <c r="R123" s="75">
        <v>48.7</v>
      </c>
      <c r="S123" s="60">
        <v>4.74</v>
      </c>
      <c r="T123" s="64"/>
      <c r="U123" s="65"/>
      <c r="V123" s="65"/>
      <c r="W123" s="65"/>
      <c r="X123" s="65"/>
      <c r="Y123" s="65"/>
      <c r="Z123" s="65"/>
      <c r="AA123" s="66"/>
      <c r="AB123" s="66"/>
      <c r="AC123" s="66"/>
      <c r="AD123" s="66"/>
      <c r="AE123" s="66"/>
      <c r="AF123" s="66"/>
      <c r="AG123" s="67">
        <v>6</v>
      </c>
      <c r="AH123" s="7">
        <f t="shared" si="2"/>
        <v>1385.0280000000002</v>
      </c>
    </row>
    <row r="124" spans="16:34" ht="15.75">
      <c r="Q124" s="74" t="s">
        <v>157</v>
      </c>
      <c r="R124" s="75">
        <v>33.4</v>
      </c>
      <c r="S124" s="60">
        <v>4.74</v>
      </c>
      <c r="T124" s="64"/>
      <c r="U124" s="65"/>
      <c r="V124" s="65"/>
      <c r="W124" s="65"/>
      <c r="X124" s="65"/>
      <c r="Y124" s="65"/>
      <c r="Z124" s="65"/>
      <c r="AA124" s="65"/>
      <c r="AB124" s="65"/>
      <c r="AC124" s="65"/>
      <c r="AD124" s="66"/>
      <c r="AE124" s="66"/>
      <c r="AF124" s="66"/>
      <c r="AG124" s="67">
        <v>3</v>
      </c>
      <c r="AH124" s="7">
        <f t="shared" si="2"/>
        <v>474.94799999999998</v>
      </c>
    </row>
    <row r="125" spans="16:34" ht="15.75">
      <c r="P125" s="66" t="s">
        <v>167</v>
      </c>
      <c r="Q125" s="74" t="s">
        <v>158</v>
      </c>
      <c r="R125" s="75">
        <v>36</v>
      </c>
      <c r="S125" s="60">
        <v>4.74</v>
      </c>
      <c r="T125" s="64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7"/>
      <c r="AH125" s="7">
        <f t="shared" si="2"/>
        <v>0</v>
      </c>
    </row>
    <row r="126" spans="16:34" ht="15.75">
      <c r="Q126" s="74" t="s">
        <v>159</v>
      </c>
      <c r="R126" s="75">
        <v>36.6</v>
      </c>
      <c r="S126" s="60">
        <v>4.74</v>
      </c>
      <c r="T126" s="64"/>
      <c r="U126" s="65"/>
      <c r="V126" s="65"/>
      <c r="W126" s="65"/>
      <c r="X126" s="65"/>
      <c r="Y126" s="65"/>
      <c r="Z126" s="65"/>
      <c r="AA126" s="65"/>
      <c r="AB126" s="65"/>
      <c r="AC126" s="66"/>
      <c r="AD126" s="66"/>
      <c r="AE126" s="66"/>
      <c r="AF126" s="66"/>
      <c r="AG126" s="67">
        <v>4</v>
      </c>
      <c r="AH126" s="7">
        <f t="shared" si="2"/>
        <v>693.93600000000004</v>
      </c>
    </row>
    <row r="127" spans="16:34" ht="15.75">
      <c r="Q127" s="74" t="s">
        <v>160</v>
      </c>
      <c r="R127" s="75">
        <v>36.5</v>
      </c>
      <c r="S127" s="60">
        <v>4.74</v>
      </c>
      <c r="T127" s="64"/>
      <c r="U127" s="65"/>
      <c r="V127" s="65"/>
      <c r="W127" s="65"/>
      <c r="X127" s="65"/>
      <c r="Y127" s="65"/>
      <c r="Z127" s="65"/>
      <c r="AA127" s="65"/>
      <c r="AB127" s="65"/>
      <c r="AC127" s="65"/>
      <c r="AD127" s="66"/>
      <c r="AE127" s="66"/>
      <c r="AF127" s="66"/>
      <c r="AG127" s="67">
        <v>3</v>
      </c>
      <c r="AH127" s="7">
        <f t="shared" si="2"/>
        <v>519.03000000000009</v>
      </c>
    </row>
    <row r="128" spans="16:34" ht="15.75">
      <c r="Q128" s="74" t="s">
        <v>161</v>
      </c>
      <c r="R128" s="75">
        <v>36.5</v>
      </c>
      <c r="S128" s="60">
        <v>4.74</v>
      </c>
      <c r="T128" s="64"/>
      <c r="U128" s="65"/>
      <c r="V128" s="65"/>
      <c r="W128" s="65"/>
      <c r="X128" s="65"/>
      <c r="Y128" s="65"/>
      <c r="Z128" s="65"/>
      <c r="AA128" s="65"/>
      <c r="AB128" s="65"/>
      <c r="AC128" s="66"/>
      <c r="AD128" s="66"/>
      <c r="AE128" s="66"/>
      <c r="AF128" s="66"/>
      <c r="AG128" s="67">
        <v>4</v>
      </c>
      <c r="AH128" s="7">
        <f t="shared" si="2"/>
        <v>692.04000000000008</v>
      </c>
    </row>
    <row r="129" spans="17:34" ht="15.75">
      <c r="Q129" s="74" t="s">
        <v>162</v>
      </c>
      <c r="R129" s="75">
        <v>36.4</v>
      </c>
      <c r="S129" s="60">
        <v>4.74</v>
      </c>
      <c r="T129" s="64"/>
      <c r="U129" s="65"/>
      <c r="V129" s="65"/>
      <c r="W129" s="65"/>
      <c r="X129" s="65"/>
      <c r="Y129" s="65"/>
      <c r="Z129" s="65"/>
      <c r="AA129" s="65"/>
      <c r="AB129" s="65"/>
      <c r="AC129" s="66"/>
      <c r="AD129" s="66"/>
      <c r="AE129" s="66"/>
      <c r="AF129" s="66"/>
      <c r="AG129" s="67">
        <v>4</v>
      </c>
      <c r="AH129" s="7">
        <f t="shared" si="2"/>
        <v>690.14400000000001</v>
      </c>
    </row>
    <row r="130" spans="17:34" ht="15.75">
      <c r="Q130" s="74" t="s">
        <v>163</v>
      </c>
      <c r="R130" s="75">
        <v>36</v>
      </c>
      <c r="S130" s="60">
        <v>4.74</v>
      </c>
      <c r="T130" s="64"/>
      <c r="U130" s="65"/>
      <c r="V130" s="65"/>
      <c r="W130" s="65"/>
      <c r="X130" s="65"/>
      <c r="Y130" s="65"/>
      <c r="Z130" s="65"/>
      <c r="AA130" s="65"/>
      <c r="AB130" s="66"/>
      <c r="AC130" s="66"/>
      <c r="AD130" s="66"/>
      <c r="AE130" s="66"/>
      <c r="AF130" s="66"/>
      <c r="AG130" s="67">
        <v>5</v>
      </c>
      <c r="AH130" s="7">
        <f t="shared" si="2"/>
        <v>853.2</v>
      </c>
    </row>
    <row r="131" spans="17:34" ht="15.75">
      <c r="Q131" s="74" t="s">
        <v>164</v>
      </c>
      <c r="R131" s="75">
        <v>33.4</v>
      </c>
      <c r="S131" s="60">
        <v>4.74</v>
      </c>
      <c r="T131" s="64"/>
      <c r="U131" s="65"/>
      <c r="V131" s="65"/>
      <c r="W131" s="65"/>
      <c r="X131" s="65"/>
      <c r="Y131" s="65"/>
      <c r="Z131" s="65"/>
      <c r="AA131" s="65"/>
      <c r="AB131" s="65"/>
      <c r="AC131" s="65"/>
      <c r="AD131" s="66"/>
      <c r="AE131" s="66"/>
      <c r="AF131" s="66"/>
      <c r="AG131" s="67">
        <v>3</v>
      </c>
      <c r="AH131" s="7">
        <f t="shared" si="2"/>
        <v>474.94799999999998</v>
      </c>
    </row>
    <row r="132" spans="17:34" ht="15.75">
      <c r="Q132" s="74" t="s">
        <v>165</v>
      </c>
      <c r="R132" s="75">
        <v>48.7</v>
      </c>
      <c r="S132" s="60">
        <v>4.74</v>
      </c>
      <c r="T132" s="64"/>
      <c r="U132" s="65"/>
      <c r="V132" s="65"/>
      <c r="W132" s="65"/>
      <c r="X132" s="65"/>
      <c r="Y132" s="65"/>
      <c r="Z132" s="65"/>
      <c r="AA132" s="66"/>
      <c r="AB132" s="66"/>
      <c r="AC132" s="66"/>
      <c r="AD132" s="66"/>
      <c r="AE132" s="66"/>
      <c r="AF132" s="66"/>
      <c r="AG132" s="67">
        <v>6</v>
      </c>
      <c r="AH132" s="7">
        <f t="shared" si="2"/>
        <v>1385.0280000000002</v>
      </c>
    </row>
    <row r="133" spans="17:34" ht="15.75">
      <c r="Q133" s="63"/>
      <c r="R133" s="68"/>
      <c r="S133" s="60"/>
      <c r="T133" s="64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7"/>
      <c r="AH133" s="7">
        <f>SUM(AH103:AH132)</f>
        <v>23180.97</v>
      </c>
    </row>
    <row r="134" spans="17:34">
      <c r="R134" s="69"/>
      <c r="S134" s="70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H134" s="7">
        <f>AH133/1.03</f>
        <v>22505.796116504855</v>
      </c>
    </row>
  </sheetData>
  <mergeCells count="107">
    <mergeCell ref="B66:E66"/>
    <mergeCell ref="F65:H65"/>
    <mergeCell ref="F66:H66"/>
    <mergeCell ref="A102:K102"/>
    <mergeCell ref="K32:L32"/>
    <mergeCell ref="K33:L33"/>
    <mergeCell ref="K50:L50"/>
    <mergeCell ref="K51:L51"/>
    <mergeCell ref="B33:H33"/>
    <mergeCell ref="B53:H53"/>
    <mergeCell ref="K56:L56"/>
    <mergeCell ref="B50:H50"/>
    <mergeCell ref="I67:L67"/>
    <mergeCell ref="I68:L68"/>
    <mergeCell ref="I70:L70"/>
    <mergeCell ref="B71:E71"/>
    <mergeCell ref="F68:H68"/>
    <mergeCell ref="F69:H69"/>
    <mergeCell ref="F70:H70"/>
    <mergeCell ref="I71:L71"/>
    <mergeCell ref="F71:H71"/>
    <mergeCell ref="I69:L69"/>
    <mergeCell ref="K53:L53"/>
    <mergeCell ref="B69:E69"/>
    <mergeCell ref="B70:E70"/>
    <mergeCell ref="B63:E63"/>
    <mergeCell ref="F63:H63"/>
    <mergeCell ref="A2:L2"/>
    <mergeCell ref="A3:L3"/>
    <mergeCell ref="A8:B8"/>
    <mergeCell ref="K26:L26"/>
    <mergeCell ref="A21:B21"/>
    <mergeCell ref="K22:L22"/>
    <mergeCell ref="K23:L23"/>
    <mergeCell ref="K24:L24"/>
    <mergeCell ref="B22:H22"/>
    <mergeCell ref="B23:H23"/>
    <mergeCell ref="B26:H26"/>
    <mergeCell ref="B24:H24"/>
    <mergeCell ref="B25:H25"/>
    <mergeCell ref="K25:L25"/>
    <mergeCell ref="D5:J5"/>
    <mergeCell ref="K27:L27"/>
    <mergeCell ref="B43:H43"/>
    <mergeCell ref="K30:L30"/>
    <mergeCell ref="K47:L47"/>
    <mergeCell ref="B32:H32"/>
    <mergeCell ref="B44:H44"/>
    <mergeCell ref="K43:L43"/>
    <mergeCell ref="B27:H27"/>
    <mergeCell ref="K28:L28"/>
    <mergeCell ref="B29:H29"/>
    <mergeCell ref="K29:L29"/>
    <mergeCell ref="B46:H46"/>
    <mergeCell ref="K45:L45"/>
    <mergeCell ref="K34:L34"/>
    <mergeCell ref="B35:H35"/>
    <mergeCell ref="K35:L35"/>
    <mergeCell ref="K38:L38"/>
    <mergeCell ref="B68:E68"/>
    <mergeCell ref="B51:H51"/>
    <mergeCell ref="K46:L46"/>
    <mergeCell ref="B47:H47"/>
    <mergeCell ref="I65:L65"/>
    <mergeCell ref="K54:L54"/>
    <mergeCell ref="B54:H54"/>
    <mergeCell ref="B55:H55"/>
    <mergeCell ref="B56:H56"/>
    <mergeCell ref="K55:L55"/>
    <mergeCell ref="B58:H58"/>
    <mergeCell ref="K58:L58"/>
    <mergeCell ref="B57:H57"/>
    <mergeCell ref="K57:L57"/>
    <mergeCell ref="F67:H67"/>
    <mergeCell ref="B52:H52"/>
    <mergeCell ref="K59:L59"/>
    <mergeCell ref="B67:E67"/>
    <mergeCell ref="I66:L66"/>
    <mergeCell ref="I63:L63"/>
    <mergeCell ref="B65:E65"/>
    <mergeCell ref="I64:L64"/>
    <mergeCell ref="B64:E64"/>
    <mergeCell ref="F64:H64"/>
    <mergeCell ref="K52:L52"/>
    <mergeCell ref="B28:H28"/>
    <mergeCell ref="B30:H30"/>
    <mergeCell ref="B48:H48"/>
    <mergeCell ref="K48:L48"/>
    <mergeCell ref="B49:H49"/>
    <mergeCell ref="K49:L49"/>
    <mergeCell ref="K44:L44"/>
    <mergeCell ref="B41:H41"/>
    <mergeCell ref="B42:H42"/>
    <mergeCell ref="K41:L41"/>
    <mergeCell ref="K42:L42"/>
    <mergeCell ref="B31:H31"/>
    <mergeCell ref="K31:L31"/>
    <mergeCell ref="B45:H45"/>
    <mergeCell ref="B34:H34"/>
    <mergeCell ref="B39:H39"/>
    <mergeCell ref="K39:L39"/>
    <mergeCell ref="K40:L40"/>
    <mergeCell ref="B36:H36"/>
    <mergeCell ref="K36:L36"/>
    <mergeCell ref="B37:H37"/>
    <mergeCell ref="K37:L37"/>
    <mergeCell ref="B38:H38"/>
  </mergeCells>
  <pageMargins left="0.26" right="0.11811023622047245" top="0.2" bottom="0.16" header="0.17" footer="0.16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100"/>
  <sheetViews>
    <sheetView topLeftCell="A19" workbookViewId="0">
      <selection activeCell="B31" sqref="B31:H31"/>
    </sheetView>
  </sheetViews>
  <sheetFormatPr defaultRowHeight="15"/>
  <cols>
    <col min="1" max="1" width="6.42578125" style="115" customWidth="1"/>
    <col min="2" max="2" width="9.85546875" style="115" customWidth="1"/>
    <col min="3" max="3" width="10.7109375" style="115" customWidth="1"/>
    <col min="4" max="4" width="6.28515625" style="115" customWidth="1"/>
    <col min="5" max="5" width="7.7109375" style="115" customWidth="1"/>
    <col min="6" max="6" width="9.7109375" style="115" customWidth="1"/>
    <col min="7" max="7" width="13" style="115" customWidth="1"/>
    <col min="8" max="8" width="12.85546875" style="115" customWidth="1"/>
    <col min="9" max="9" width="9.42578125" style="115" customWidth="1"/>
    <col min="10" max="10" width="11" style="115" customWidth="1"/>
    <col min="11" max="11" width="9.5703125" style="115" customWidth="1"/>
    <col min="12" max="12" width="3.85546875" style="115" customWidth="1"/>
  </cols>
  <sheetData>
    <row r="1" spans="1:31">
      <c r="K1" s="116" t="s">
        <v>295</v>
      </c>
    </row>
    <row r="2" spans="1:31" ht="18.75">
      <c r="A2" s="325" t="s">
        <v>0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U2">
        <v>70</v>
      </c>
      <c r="V2">
        <v>1136.5999999999999</v>
      </c>
      <c r="W2" s="27">
        <f>V2*100/V6</f>
        <v>25.062844542447625</v>
      </c>
      <c r="X2" s="27"/>
      <c r="Y2">
        <v>82</v>
      </c>
      <c r="Z2">
        <v>1139.2</v>
      </c>
      <c r="AA2" s="27">
        <f>Z2*100/Z6</f>
        <v>24.995063299471227</v>
      </c>
      <c r="AC2">
        <v>83</v>
      </c>
      <c r="AD2">
        <v>1138.9000000000001</v>
      </c>
      <c r="AE2" s="27">
        <f>AD2*100/AD6</f>
        <v>24.994513453013212</v>
      </c>
    </row>
    <row r="3" spans="1:31" ht="18.75">
      <c r="A3" s="325" t="s">
        <v>1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U3">
        <v>71</v>
      </c>
      <c r="V3">
        <v>1132.9000000000001</v>
      </c>
      <c r="W3" s="27">
        <f>V3*100/V6</f>
        <v>24.981256890848957</v>
      </c>
      <c r="X3" s="27"/>
      <c r="Y3">
        <v>90</v>
      </c>
      <c r="Z3">
        <v>1139.3</v>
      </c>
      <c r="AA3" s="27">
        <f>Z3*100/Z6</f>
        <v>24.997257388595127</v>
      </c>
      <c r="AC3">
        <v>91</v>
      </c>
      <c r="AD3">
        <v>1138.4000000000001</v>
      </c>
      <c r="AE3" s="27">
        <f>AD3*100/AD6</f>
        <v>24.983540359039637</v>
      </c>
    </row>
    <row r="4" spans="1:31" ht="18.75">
      <c r="A4" s="117"/>
      <c r="B4" s="214"/>
      <c r="C4" s="117"/>
      <c r="D4" s="119" t="s">
        <v>2</v>
      </c>
      <c r="E4" s="214">
        <v>107</v>
      </c>
      <c r="F4" s="120" t="s">
        <v>101</v>
      </c>
      <c r="G4" s="120"/>
      <c r="H4" s="214"/>
      <c r="I4" s="118">
        <v>2013</v>
      </c>
      <c r="J4" s="120" t="s">
        <v>24</v>
      </c>
      <c r="U4">
        <v>76</v>
      </c>
      <c r="V4">
        <v>1134.5</v>
      </c>
      <c r="W4" s="27">
        <f>V4*100/V6</f>
        <v>25.016538037486217</v>
      </c>
      <c r="X4" s="27"/>
      <c r="Y4">
        <v>98</v>
      </c>
      <c r="Z4">
        <v>1140.2</v>
      </c>
      <c r="AA4" s="27">
        <f>Z4*100/Z6</f>
        <v>25.017004190710228</v>
      </c>
      <c r="AC4">
        <v>99</v>
      </c>
      <c r="AD4">
        <v>1139.5999999999999</v>
      </c>
      <c r="AE4" s="27">
        <f>AD4*100/AD6</f>
        <v>25.009875784576213</v>
      </c>
    </row>
    <row r="5" spans="1:31">
      <c r="O5" t="s">
        <v>279</v>
      </c>
      <c r="U5">
        <v>77</v>
      </c>
      <c r="V5">
        <v>1131</v>
      </c>
      <c r="W5" s="27">
        <f>V5*100/V6</f>
        <v>24.9393605292172</v>
      </c>
      <c r="X5" s="27"/>
      <c r="Y5">
        <v>105</v>
      </c>
      <c r="Z5">
        <v>1139</v>
      </c>
      <c r="AA5" s="27">
        <f>Z5*100/Z6</f>
        <v>24.990675121223425</v>
      </c>
      <c r="AC5">
        <v>106</v>
      </c>
      <c r="AD5">
        <v>1139.7</v>
      </c>
      <c r="AE5" s="27">
        <f>AD5*100/AD6</f>
        <v>25.012070403370931</v>
      </c>
    </row>
    <row r="6" spans="1:31" ht="15.75">
      <c r="A6" s="121" t="s">
        <v>191</v>
      </c>
      <c r="B6" s="218">
        <f>I4</f>
        <v>2013</v>
      </c>
      <c r="C6" s="115" t="s">
        <v>30</v>
      </c>
      <c r="D6" s="218" t="s">
        <v>194</v>
      </c>
      <c r="E6" s="113">
        <v>1139.5999999999999</v>
      </c>
      <c r="F6" s="90" t="s">
        <v>261</v>
      </c>
      <c r="G6" s="90"/>
      <c r="H6" s="90"/>
      <c r="I6" s="90"/>
      <c r="J6" s="90"/>
      <c r="O6" t="s">
        <v>278</v>
      </c>
      <c r="P6" s="36">
        <v>1139.5999999999999</v>
      </c>
      <c r="V6">
        <f>SUM(V2:V5)</f>
        <v>4535</v>
      </c>
      <c r="W6" s="27"/>
      <c r="X6" s="27"/>
      <c r="Z6">
        <f>SUM(Z2:Z5)</f>
        <v>4557.7</v>
      </c>
      <c r="AA6" s="27"/>
      <c r="AD6">
        <f>SUM(AD2:AD5)</f>
        <v>4556.6000000000004</v>
      </c>
      <c r="AE6" s="27"/>
    </row>
    <row r="7" spans="1:31" ht="15.75">
      <c r="A7" s="326">
        <v>667720.68000000005</v>
      </c>
      <c r="B7" s="326"/>
      <c r="C7" s="123" t="s">
        <v>3</v>
      </c>
      <c r="E7" s="90"/>
      <c r="F7" s="90"/>
      <c r="G7" s="110">
        <f>A7-J8</f>
        <v>541825.4</v>
      </c>
      <c r="H7" s="216" t="s">
        <v>99</v>
      </c>
      <c r="I7" s="112">
        <f>(G7/A7)*100</f>
        <v>81.14551731421588</v>
      </c>
      <c r="J7" s="90" t="s">
        <v>4</v>
      </c>
      <c r="AA7" s="27"/>
      <c r="AE7" s="27"/>
    </row>
    <row r="8" spans="1:31" ht="15.75">
      <c r="A8" s="115" t="s">
        <v>98</v>
      </c>
      <c r="E8" s="90"/>
      <c r="F8" s="90"/>
      <c r="G8" s="90"/>
      <c r="H8" s="90"/>
      <c r="I8" s="90"/>
      <c r="J8" s="114">
        <v>125895.28</v>
      </c>
      <c r="K8" s="115" t="s">
        <v>5</v>
      </c>
      <c r="U8">
        <v>72</v>
      </c>
      <c r="V8">
        <v>1135.5999999999999</v>
      </c>
      <c r="W8" s="27">
        <f>V8*100/V12</f>
        <v>25.028100412139374</v>
      </c>
      <c r="X8" s="27"/>
      <c r="Y8">
        <v>84</v>
      </c>
      <c r="Z8">
        <v>1139</v>
      </c>
      <c r="AA8" s="27">
        <f>Z8*100/Z12</f>
        <v>25.004939518342077</v>
      </c>
      <c r="AC8">
        <v>85</v>
      </c>
      <c r="AD8">
        <v>1142.4000000000001</v>
      </c>
      <c r="AE8" s="27">
        <f>AD8*100/AD12</f>
        <v>25.129231649105829</v>
      </c>
    </row>
    <row r="9" spans="1:31">
      <c r="A9" s="115" t="s">
        <v>97</v>
      </c>
      <c r="E9" s="90"/>
      <c r="F9" s="90"/>
      <c r="G9" s="90"/>
      <c r="H9" s="90"/>
      <c r="I9" s="90"/>
      <c r="J9" s="90"/>
      <c r="O9" t="s">
        <v>262</v>
      </c>
      <c r="Q9" s="324">
        <f>36.3+36</f>
        <v>72.3</v>
      </c>
      <c r="U9">
        <v>73</v>
      </c>
      <c r="V9">
        <v>1135.7</v>
      </c>
      <c r="W9" s="27">
        <f>V9*100/V12</f>
        <v>25.030304366032663</v>
      </c>
      <c r="X9" s="27"/>
      <c r="Y9">
        <v>92</v>
      </c>
      <c r="Z9">
        <v>1138.9000000000001</v>
      </c>
      <c r="AA9" s="27">
        <f>Z9*100/Z12</f>
        <v>25.002744176856712</v>
      </c>
      <c r="AC9">
        <v>93</v>
      </c>
      <c r="AD9">
        <v>1135.5</v>
      </c>
      <c r="AE9" s="27">
        <f>AD9*100/AD12</f>
        <v>24.977453201645364</v>
      </c>
    </row>
    <row r="10" spans="1:31">
      <c r="B10" s="124"/>
      <c r="E10" s="125"/>
      <c r="F10" s="124"/>
      <c r="I10" s="125"/>
      <c r="J10" s="124"/>
      <c r="O10" t="s">
        <v>263</v>
      </c>
      <c r="Q10" s="324"/>
      <c r="U10">
        <v>78</v>
      </c>
      <c r="V10">
        <v>1129</v>
      </c>
      <c r="W10" s="27">
        <f>V10*100/V12</f>
        <v>24.882639455182595</v>
      </c>
      <c r="X10" s="27"/>
      <c r="Y10">
        <v>100</v>
      </c>
      <c r="Z10">
        <v>1138.4000000000001</v>
      </c>
      <c r="AA10" s="27">
        <f>Z10*100/Z12</f>
        <v>24.99176746942987</v>
      </c>
      <c r="AC10">
        <v>101</v>
      </c>
      <c r="AD10">
        <v>1133.9000000000001</v>
      </c>
      <c r="AE10" s="27">
        <f>AD10*100/AD12</f>
        <v>24.942258199335697</v>
      </c>
    </row>
    <row r="11" spans="1:31">
      <c r="A11" s="115" t="s">
        <v>264</v>
      </c>
      <c r="B11" s="124">
        <v>11194.28</v>
      </c>
      <c r="C11" s="115" t="s">
        <v>10</v>
      </c>
      <c r="E11" s="125" t="s">
        <v>265</v>
      </c>
      <c r="F11" s="124">
        <v>7495.47</v>
      </c>
      <c r="G11" s="115" t="s">
        <v>10</v>
      </c>
      <c r="I11" s="125" t="s">
        <v>266</v>
      </c>
      <c r="J11" s="124">
        <v>14098.85</v>
      </c>
      <c r="K11" s="115" t="s">
        <v>10</v>
      </c>
      <c r="U11">
        <v>79</v>
      </c>
      <c r="V11">
        <v>1137</v>
      </c>
      <c r="W11" s="27">
        <f>V11*100/V12</f>
        <v>25.058955766645362</v>
      </c>
      <c r="X11" s="27"/>
      <c r="Y11">
        <v>107</v>
      </c>
      <c r="Z11">
        <v>1138.8</v>
      </c>
      <c r="AA11" s="27">
        <f>Z11*100/Z12</f>
        <v>25.00054883537134</v>
      </c>
      <c r="AC11">
        <v>108</v>
      </c>
      <c r="AD11">
        <v>1134.3</v>
      </c>
      <c r="AE11" s="27">
        <f>AD11*100/AD12</f>
        <v>24.951056949913109</v>
      </c>
    </row>
    <row r="12" spans="1:31">
      <c r="B12" s="124"/>
      <c r="E12" s="126"/>
      <c r="F12" s="124"/>
      <c r="I12" s="126"/>
      <c r="J12" s="124"/>
      <c r="O12">
        <v>84</v>
      </c>
      <c r="P12">
        <v>1139</v>
      </c>
      <c r="Q12" s="27">
        <f>P12*100/P20</f>
        <v>12.514833208807632</v>
      </c>
      <c r="V12">
        <f>SUM(V8:V11)</f>
        <v>4537.3</v>
      </c>
      <c r="W12" s="27"/>
      <c r="X12" s="27"/>
      <c r="Z12">
        <f>SUM(Z8:Z11)</f>
        <v>4555.1000000000004</v>
      </c>
      <c r="AA12" s="27"/>
      <c r="AD12">
        <f>SUM(AD8:AD11)</f>
        <v>4546.1000000000004</v>
      </c>
      <c r="AE12" s="27"/>
    </row>
    <row r="13" spans="1:31" ht="15.75">
      <c r="A13" s="115" t="s">
        <v>32</v>
      </c>
      <c r="J13" s="124">
        <f>G14+G15+G16+G17</f>
        <v>125895.27999999998</v>
      </c>
      <c r="K13" s="127" t="s">
        <v>33</v>
      </c>
      <c r="O13">
        <v>92</v>
      </c>
      <c r="P13">
        <v>1138.9000000000001</v>
      </c>
      <c r="Q13" s="27">
        <f>P13*100/P20</f>
        <v>12.51373445259966</v>
      </c>
      <c r="U13" s="37"/>
      <c r="V13" s="37"/>
      <c r="AA13" s="27"/>
      <c r="AE13" s="27"/>
    </row>
    <row r="14" spans="1:31">
      <c r="A14" s="128" t="s">
        <v>6</v>
      </c>
      <c r="B14" s="115" t="s">
        <v>7</v>
      </c>
      <c r="G14" s="129">
        <f>(J8*43.5/100)</f>
        <v>54764.446799999998</v>
      </c>
      <c r="H14" s="115" t="s">
        <v>10</v>
      </c>
      <c r="O14">
        <v>100</v>
      </c>
      <c r="P14">
        <v>1138.4000000000001</v>
      </c>
      <c r="Q14" s="27">
        <f>P14*100/P20</f>
        <v>12.508240671559797</v>
      </c>
      <c r="U14">
        <v>111</v>
      </c>
      <c r="V14">
        <v>581.29999999999995</v>
      </c>
      <c r="W14" s="27">
        <f>V14*100/V18</f>
        <v>18.287925501793239</v>
      </c>
      <c r="Y14">
        <v>117</v>
      </c>
      <c r="Z14">
        <v>581.1</v>
      </c>
      <c r="AA14" s="27">
        <f>Z14*100/Z18</f>
        <v>17.130475797417606</v>
      </c>
      <c r="AC14">
        <v>124</v>
      </c>
      <c r="AD14">
        <v>935.1</v>
      </c>
      <c r="AE14" s="27">
        <f>AD14*100/AD17</f>
        <v>33.330957048654426</v>
      </c>
    </row>
    <row r="15" spans="1:31">
      <c r="A15" s="128" t="s">
        <v>6</v>
      </c>
      <c r="B15" s="115" t="s">
        <v>8</v>
      </c>
      <c r="G15" s="129">
        <f>(J8*36.6/100)</f>
        <v>46077.672479999994</v>
      </c>
      <c r="H15" s="115" t="s">
        <v>10</v>
      </c>
      <c r="O15">
        <v>107</v>
      </c>
      <c r="P15">
        <v>1138.8</v>
      </c>
      <c r="Q15" s="27">
        <f>P15*100/P20</f>
        <v>12.512635696391687</v>
      </c>
      <c r="U15">
        <v>113</v>
      </c>
      <c r="V15">
        <v>952.5</v>
      </c>
      <c r="W15" s="27">
        <f>V15*100/V18</f>
        <v>29.966022777323349</v>
      </c>
      <c r="Y15">
        <v>119</v>
      </c>
      <c r="Z15">
        <v>945.5</v>
      </c>
      <c r="AA15" s="27">
        <f>Z15*100/Z18</f>
        <v>27.872766935911798</v>
      </c>
      <c r="AC15">
        <v>123</v>
      </c>
      <c r="AD15">
        <v>935.5</v>
      </c>
      <c r="AE15" s="27">
        <f>AD15*100/AD17</f>
        <v>33.345214756727856</v>
      </c>
    </row>
    <row r="16" spans="1:31">
      <c r="A16" s="128" t="s">
        <v>6</v>
      </c>
      <c r="B16" s="115" t="s">
        <v>9</v>
      </c>
      <c r="G16" s="129">
        <f>(J8*12.5/100)</f>
        <v>15736.91</v>
      </c>
      <c r="H16" s="115" t="s">
        <v>10</v>
      </c>
      <c r="K16" s="123"/>
      <c r="L16" s="130"/>
      <c r="O16">
        <v>85</v>
      </c>
      <c r="P16">
        <v>1142.4000000000001</v>
      </c>
      <c r="Q16" s="27">
        <f>P16*100/P20</f>
        <v>12.552190919878701</v>
      </c>
      <c r="U16">
        <v>114</v>
      </c>
      <c r="V16">
        <v>699.3</v>
      </c>
      <c r="W16" s="27">
        <f>V16*100/V18</f>
        <v>22.000251683130937</v>
      </c>
      <c r="Y16">
        <v>120</v>
      </c>
      <c r="Z16">
        <v>931.8</v>
      </c>
      <c r="AA16" s="27">
        <f>Z16*100/Z18</f>
        <v>27.468899239431639</v>
      </c>
      <c r="AC16">
        <v>122</v>
      </c>
      <c r="AD16">
        <v>934.9</v>
      </c>
      <c r="AE16" s="27">
        <f>AD16*100/AD17</f>
        <v>33.323828194617718</v>
      </c>
    </row>
    <row r="17" spans="1:44">
      <c r="A17" s="128" t="s">
        <v>6</v>
      </c>
      <c r="B17" s="115" t="s">
        <v>14</v>
      </c>
      <c r="G17" s="129">
        <f>(J8*7.4/100)</f>
        <v>9316.25072</v>
      </c>
      <c r="H17" s="115" t="s">
        <v>10</v>
      </c>
      <c r="O17">
        <v>93</v>
      </c>
      <c r="P17">
        <v>1135.5</v>
      </c>
      <c r="Q17" s="27">
        <f>P17*100/P20</f>
        <v>12.476376741528592</v>
      </c>
      <c r="U17">
        <v>115</v>
      </c>
      <c r="V17">
        <v>945.5</v>
      </c>
      <c r="W17" s="27">
        <f>V17*100/V18</f>
        <v>29.745800037752471</v>
      </c>
      <c r="Y17">
        <v>121</v>
      </c>
      <c r="Z17">
        <v>933.8</v>
      </c>
      <c r="AA17" s="27">
        <f>Z17*100/Z18</f>
        <v>27.52785802723896</v>
      </c>
      <c r="AD17">
        <f>SUM(AD14:AD16)</f>
        <v>2805.5</v>
      </c>
      <c r="AE17" s="27"/>
    </row>
    <row r="18" spans="1:44">
      <c r="G18" s="131"/>
      <c r="O18">
        <v>101</v>
      </c>
      <c r="P18">
        <v>1133.9000000000001</v>
      </c>
      <c r="Q18" s="27">
        <f>P18*100/P20</f>
        <v>12.458796642201031</v>
      </c>
      <c r="V18">
        <f>SUM(V14:V17)</f>
        <v>3178.6</v>
      </c>
      <c r="Z18">
        <f>SUM(Z14:Z17)</f>
        <v>3392.2</v>
      </c>
      <c r="AA18" s="27"/>
    </row>
    <row r="19" spans="1:44" ht="18.75" customHeight="1" thickBot="1">
      <c r="A19" s="132" t="s">
        <v>11</v>
      </c>
      <c r="G19" s="129">
        <f>(E6-Q9)*5.45*12/1.03</f>
        <v>67768.368932038837</v>
      </c>
      <c r="H19" s="115" t="s">
        <v>12</v>
      </c>
      <c r="O19">
        <v>108</v>
      </c>
      <c r="P19">
        <v>1134.3</v>
      </c>
      <c r="Q19" s="27">
        <f>P19*100/P20</f>
        <v>12.46319166703292</v>
      </c>
      <c r="X19" s="37"/>
      <c r="Y19" s="37"/>
      <c r="Z19" s="37"/>
    </row>
    <row r="20" spans="1:44" ht="15.75" thickBot="1">
      <c r="A20" s="327">
        <f>G19*I7/100</f>
        <v>54990.993545309269</v>
      </c>
      <c r="B20" s="327"/>
      <c r="C20" s="115" t="s">
        <v>75</v>
      </c>
      <c r="P20">
        <f>SUM(P12:P19)</f>
        <v>9101.1999999999989</v>
      </c>
      <c r="U20" s="69" t="s">
        <v>272</v>
      </c>
      <c r="V20" s="167" t="s">
        <v>273</v>
      </c>
      <c r="W20" s="168" t="s">
        <v>274</v>
      </c>
      <c r="X20" s="169" t="s">
        <v>275</v>
      </c>
      <c r="Y20" s="170" t="s">
        <v>276</v>
      </c>
      <c r="Z20" s="37"/>
      <c r="AA20" s="171" t="s">
        <v>277</v>
      </c>
      <c r="AB20" s="172" t="s">
        <v>273</v>
      </c>
      <c r="AC20" s="173" t="s">
        <v>274</v>
      </c>
      <c r="AD20" s="174" t="s">
        <v>275</v>
      </c>
      <c r="AE20" s="175" t="s">
        <v>276</v>
      </c>
    </row>
    <row r="21" spans="1:44">
      <c r="A21" s="133" t="s">
        <v>2</v>
      </c>
      <c r="B21" s="328" t="s">
        <v>20</v>
      </c>
      <c r="C21" s="329"/>
      <c r="D21" s="329"/>
      <c r="E21" s="329"/>
      <c r="F21" s="329"/>
      <c r="G21" s="329"/>
      <c r="H21" s="330"/>
      <c r="I21" s="133" t="s">
        <v>18</v>
      </c>
      <c r="J21" s="134" t="s">
        <v>17</v>
      </c>
      <c r="K21" s="328" t="s">
        <v>15</v>
      </c>
      <c r="L21" s="330"/>
      <c r="U21" s="164">
        <v>100</v>
      </c>
      <c r="V21" s="176">
        <v>1138.4000000000001</v>
      </c>
      <c r="W21" s="177">
        <v>1138.4000000000001</v>
      </c>
      <c r="X21" s="169">
        <f>W21*100/W48</f>
        <v>4.3689992942208624</v>
      </c>
      <c r="Y21" s="170">
        <f>V21*100/V48</f>
        <v>4.1257139543649073</v>
      </c>
      <c r="Z21" s="37"/>
      <c r="AA21" s="178">
        <v>100</v>
      </c>
      <c r="AB21" s="179">
        <v>1138.4000000000001</v>
      </c>
      <c r="AC21" s="180">
        <v>1138.4000000000001</v>
      </c>
      <c r="AD21" s="181">
        <f>AC21*100/AC56</f>
        <v>4.3689992942208624</v>
      </c>
      <c r="AE21" s="182">
        <f>AB21*100/AB56</f>
        <v>3.1048599349244923</v>
      </c>
    </row>
    <row r="22" spans="1:44" ht="15.75" thickBot="1">
      <c r="A22" s="135" t="s">
        <v>13</v>
      </c>
      <c r="B22" s="333"/>
      <c r="C22" s="334"/>
      <c r="D22" s="334"/>
      <c r="E22" s="334"/>
      <c r="F22" s="334"/>
      <c r="G22" s="334"/>
      <c r="H22" s="335"/>
      <c r="I22" s="135" t="s">
        <v>19</v>
      </c>
      <c r="J22" s="136"/>
      <c r="K22" s="336" t="s">
        <v>16</v>
      </c>
      <c r="L22" s="337"/>
      <c r="U22" s="164">
        <v>105</v>
      </c>
      <c r="V22" s="176">
        <v>1139</v>
      </c>
      <c r="W22" s="177">
        <v>1138.5999999999999</v>
      </c>
      <c r="X22" s="169">
        <f>W22*100/W48</f>
        <v>4.3697668626140835</v>
      </c>
      <c r="Y22" s="170">
        <f>V22*100/V48</f>
        <v>4.1278884346641149</v>
      </c>
      <c r="Z22" s="37"/>
      <c r="AA22" s="183">
        <v>105</v>
      </c>
      <c r="AB22" s="184">
        <v>1139</v>
      </c>
      <c r="AC22" s="185">
        <v>1138.5999999999999</v>
      </c>
      <c r="AD22" s="169">
        <f>AC22*100/AC56</f>
        <v>4.3697668626140835</v>
      </c>
      <c r="AE22" s="186">
        <f>AB22*100/AB56</f>
        <v>3.1064963684811984</v>
      </c>
    </row>
    <row r="23" spans="1:44" ht="15.75" thickBot="1">
      <c r="A23" s="137"/>
      <c r="B23" s="343" t="s">
        <v>212</v>
      </c>
      <c r="C23" s="344"/>
      <c r="D23" s="344"/>
      <c r="E23" s="344"/>
      <c r="F23" s="344"/>
      <c r="G23" s="344"/>
      <c r="H23" s="345"/>
      <c r="I23" s="138"/>
      <c r="J23" s="139"/>
      <c r="K23" s="346">
        <f>'2012'!G61</f>
        <v>34136.725616000011</v>
      </c>
      <c r="L23" s="347"/>
      <c r="U23" s="164">
        <v>106</v>
      </c>
      <c r="V23" s="176">
        <v>1139.7</v>
      </c>
      <c r="W23" s="177">
        <v>1139.7</v>
      </c>
      <c r="X23" s="169">
        <f>W23*100/W48</f>
        <v>4.3739884887768063</v>
      </c>
      <c r="Y23" s="170">
        <f>V23*100/V48</f>
        <v>4.1304253283465249</v>
      </c>
      <c r="Z23" s="37"/>
      <c r="AA23" s="183">
        <v>106</v>
      </c>
      <c r="AB23" s="184">
        <v>1139.7</v>
      </c>
      <c r="AC23" s="185">
        <v>1139.7</v>
      </c>
      <c r="AD23" s="169">
        <f>AC23*100/AC56</f>
        <v>4.3739884887768063</v>
      </c>
      <c r="AE23" s="186">
        <f>AB23*100/AB56</f>
        <v>3.1084055409640223</v>
      </c>
    </row>
    <row r="24" spans="1:44">
      <c r="A24" s="140">
        <v>1</v>
      </c>
      <c r="B24" s="338" t="s">
        <v>297</v>
      </c>
      <c r="C24" s="339"/>
      <c r="D24" s="339"/>
      <c r="E24" s="339"/>
      <c r="F24" s="339"/>
      <c r="G24" s="339"/>
      <c r="H24" s="340"/>
      <c r="I24" s="141" t="s">
        <v>103</v>
      </c>
      <c r="J24" s="142">
        <v>1</v>
      </c>
      <c r="K24" s="331">
        <v>50</v>
      </c>
      <c r="L24" s="332"/>
      <c r="U24" s="164">
        <v>107</v>
      </c>
      <c r="V24" s="176">
        <v>1139.8</v>
      </c>
      <c r="W24" s="177">
        <v>1139.5999999999999</v>
      </c>
      <c r="X24" s="169">
        <f>W24*100/W48</f>
        <v>4.3736047045801945</v>
      </c>
      <c r="Y24" s="170">
        <f>V24*100/V48</f>
        <v>4.1307877417297263</v>
      </c>
      <c r="Z24" s="37"/>
      <c r="AA24" s="183">
        <v>107</v>
      </c>
      <c r="AB24" s="184">
        <v>1139.8</v>
      </c>
      <c r="AC24" s="185">
        <v>1139.5999999999999</v>
      </c>
      <c r="AD24" s="169">
        <f>AC24*100/AC56</f>
        <v>4.3736047045801945</v>
      </c>
      <c r="AE24" s="186">
        <f>AB24*100/AB56</f>
        <v>3.1086782798901402</v>
      </c>
    </row>
    <row r="25" spans="1:44">
      <c r="A25" s="140">
        <v>2</v>
      </c>
      <c r="B25" s="341" t="s">
        <v>284</v>
      </c>
      <c r="C25" s="342"/>
      <c r="D25" s="342"/>
      <c r="E25" s="342"/>
      <c r="F25" s="342"/>
      <c r="G25" s="342"/>
      <c r="H25" s="275"/>
      <c r="I25" s="140" t="s">
        <v>103</v>
      </c>
      <c r="J25" s="142">
        <v>13</v>
      </c>
      <c r="K25" s="267">
        <v>1330.3</v>
      </c>
      <c r="L25" s="268"/>
      <c r="N25" t="s">
        <v>196</v>
      </c>
      <c r="U25" s="164">
        <v>113</v>
      </c>
      <c r="V25" s="187">
        <v>952.5</v>
      </c>
      <c r="W25" s="188">
        <v>951</v>
      </c>
      <c r="X25" s="169">
        <f>W25*100/W48</f>
        <v>3.649787709771644</v>
      </c>
      <c r="Y25" s="170">
        <f>V25*100/V48</f>
        <v>3.451987474993476</v>
      </c>
      <c r="Z25" s="37"/>
      <c r="AA25" s="183">
        <v>113</v>
      </c>
      <c r="AB25" s="189">
        <v>952.5</v>
      </c>
      <c r="AC25" s="190">
        <v>951</v>
      </c>
      <c r="AD25" s="169">
        <f>AC25*100/AC56</f>
        <v>3.649787709771644</v>
      </c>
      <c r="AE25" s="186">
        <f>AB25*100/AB56</f>
        <v>2.5978382712715904</v>
      </c>
    </row>
    <row r="26" spans="1:44" ht="14.25" customHeight="1">
      <c r="A26" s="140">
        <v>3</v>
      </c>
      <c r="B26" s="370" t="s">
        <v>298</v>
      </c>
      <c r="C26" s="371"/>
      <c r="D26" s="371"/>
      <c r="E26" s="371"/>
      <c r="F26" s="371"/>
      <c r="G26" s="371"/>
      <c r="H26" s="372"/>
      <c r="I26" s="209" t="s">
        <v>271</v>
      </c>
      <c r="J26" s="219">
        <v>2</v>
      </c>
      <c r="K26" s="271">
        <f>1100*0.0413</f>
        <v>45.430000000000007</v>
      </c>
      <c r="L26" s="272"/>
      <c r="N26" t="s">
        <v>299</v>
      </c>
      <c r="U26" s="164">
        <v>114</v>
      </c>
      <c r="V26" s="187">
        <v>699.3</v>
      </c>
      <c r="W26" s="188">
        <v>989.1</v>
      </c>
      <c r="X26" s="169">
        <f>W26*100/W48</f>
        <v>3.7960094886804763</v>
      </c>
      <c r="Y26" s="170">
        <f>V26*100/V48</f>
        <v>2.5343567887274938</v>
      </c>
      <c r="Z26" s="37"/>
      <c r="AA26" s="183">
        <v>114</v>
      </c>
      <c r="AB26" s="189">
        <v>699.3</v>
      </c>
      <c r="AC26" s="190">
        <v>989.1</v>
      </c>
      <c r="AD26" s="169">
        <f>AC26*100/AC56</f>
        <v>3.7960094886804763</v>
      </c>
      <c r="AE26" s="186">
        <f>AB26*100/AB56</f>
        <v>1.9072633103414416</v>
      </c>
    </row>
    <row r="27" spans="1:44" ht="17.25">
      <c r="A27" s="140">
        <v>4</v>
      </c>
      <c r="B27" s="263" t="s">
        <v>302</v>
      </c>
      <c r="C27" s="266"/>
      <c r="D27" s="266"/>
      <c r="E27" s="266"/>
      <c r="F27" s="266"/>
      <c r="G27" s="266"/>
      <c r="H27" s="265"/>
      <c r="I27" s="209" t="s">
        <v>300</v>
      </c>
      <c r="J27" s="21">
        <v>28</v>
      </c>
      <c r="K27" s="373">
        <f>5710.64*0.1484</f>
        <v>847.45897600000012</v>
      </c>
      <c r="L27" s="374"/>
      <c r="N27" t="s">
        <v>301</v>
      </c>
      <c r="U27" s="164">
        <v>111</v>
      </c>
      <c r="V27" s="187">
        <v>581.29999999999995</v>
      </c>
      <c r="W27" s="188">
        <v>673.89</v>
      </c>
      <c r="X27" s="169">
        <f>W27*100/W48</f>
        <v>2.5862833225426005</v>
      </c>
      <c r="Y27" s="170">
        <f>V27*100/V48</f>
        <v>2.1067089965498242</v>
      </c>
      <c r="AA27" s="183">
        <v>111</v>
      </c>
      <c r="AB27" s="189">
        <v>581.29999999999995</v>
      </c>
      <c r="AC27" s="190">
        <v>673.89</v>
      </c>
      <c r="AD27" s="169">
        <f>AC27*100/AC56</f>
        <v>2.5862833225426005</v>
      </c>
      <c r="AE27" s="186">
        <f>AB27*100/AB56</f>
        <v>1.5854313775224937</v>
      </c>
      <c r="AJ27" s="97"/>
      <c r="AK27" s="97"/>
      <c r="AL27" s="97"/>
      <c r="AM27" s="97"/>
      <c r="AN27" s="97"/>
      <c r="AO27" s="97"/>
      <c r="AP27" s="97"/>
      <c r="AQ27" s="67">
        <v>7</v>
      </c>
      <c r="AR27" s="7">
        <f>Y27*Z27*AQ27</f>
        <v>0</v>
      </c>
    </row>
    <row r="28" spans="1:44">
      <c r="A28" s="140">
        <v>5</v>
      </c>
      <c r="B28" s="273" t="s">
        <v>239</v>
      </c>
      <c r="C28" s="274"/>
      <c r="D28" s="274"/>
      <c r="E28" s="274"/>
      <c r="F28" s="274"/>
      <c r="G28" s="274"/>
      <c r="H28" s="274"/>
      <c r="I28" s="140" t="s">
        <v>267</v>
      </c>
      <c r="J28" s="143">
        <v>252</v>
      </c>
      <c r="K28" s="331">
        <v>1600</v>
      </c>
      <c r="L28" s="332"/>
      <c r="N28" t="s">
        <v>238</v>
      </c>
      <c r="U28" s="164">
        <v>101</v>
      </c>
      <c r="V28" s="187">
        <v>1133.9000000000001</v>
      </c>
      <c r="W28" s="188">
        <v>953.6</v>
      </c>
      <c r="X28" s="169">
        <f>W28*100/W48</f>
        <v>3.6597660988835328</v>
      </c>
      <c r="Y28" s="170">
        <f>V28*100/V48</f>
        <v>4.1094053521208433</v>
      </c>
      <c r="Z28" s="37"/>
      <c r="AA28" s="183">
        <v>101</v>
      </c>
      <c r="AB28" s="189">
        <v>1133.9000000000001</v>
      </c>
      <c r="AC28" s="190">
        <v>953.6</v>
      </c>
      <c r="AD28" s="169">
        <f>AC28*100/AC56</f>
        <v>3.6597660988835328</v>
      </c>
      <c r="AE28" s="186">
        <f>AB28*100/AB56</f>
        <v>3.0925866832491935</v>
      </c>
      <c r="AJ28" s="97"/>
      <c r="AK28" s="97"/>
      <c r="AL28" s="97"/>
      <c r="AM28" s="97"/>
      <c r="AN28" s="97"/>
      <c r="AO28" s="97"/>
      <c r="AP28" s="97"/>
      <c r="AQ28" s="67"/>
      <c r="AR28" s="7"/>
    </row>
    <row r="29" spans="1:44">
      <c r="A29" s="140">
        <v>6</v>
      </c>
      <c r="B29" s="273" t="s">
        <v>260</v>
      </c>
      <c r="C29" s="274"/>
      <c r="D29" s="274"/>
      <c r="E29" s="274"/>
      <c r="F29" s="274"/>
      <c r="G29" s="274"/>
      <c r="H29" s="274"/>
      <c r="I29" s="140" t="s">
        <v>267</v>
      </c>
      <c r="J29" s="143">
        <v>252</v>
      </c>
      <c r="K29" s="331">
        <v>1600</v>
      </c>
      <c r="L29" s="332"/>
      <c r="U29" s="164">
        <v>108</v>
      </c>
      <c r="V29" s="187">
        <v>1134.3</v>
      </c>
      <c r="W29" s="188">
        <v>730.32</v>
      </c>
      <c r="X29" s="169">
        <f>W29*100/W48</f>
        <v>2.8028527446902491</v>
      </c>
      <c r="Y29" s="170">
        <f>V29*100/V48</f>
        <v>4.1108550056536481</v>
      </c>
      <c r="Z29" s="37"/>
      <c r="AA29" s="183">
        <v>108</v>
      </c>
      <c r="AB29" s="189">
        <v>1134.3</v>
      </c>
      <c r="AC29" s="190">
        <v>730.32</v>
      </c>
      <c r="AD29" s="169">
        <f>AC29*100/AC56</f>
        <v>2.8028527446902491</v>
      </c>
      <c r="AE29" s="186">
        <f>AB29*100/AB56</f>
        <v>3.0936776389536638</v>
      </c>
    </row>
    <row r="30" spans="1:44">
      <c r="A30" s="140">
        <v>7</v>
      </c>
      <c r="B30" s="273" t="s">
        <v>193</v>
      </c>
      <c r="C30" s="274"/>
      <c r="D30" s="274"/>
      <c r="E30" s="274"/>
      <c r="F30" s="274"/>
      <c r="G30" s="274"/>
      <c r="H30" s="275"/>
      <c r="I30" s="144" t="s">
        <v>192</v>
      </c>
      <c r="J30" s="122">
        <v>24</v>
      </c>
      <c r="K30" s="267">
        <f>(12000+9690)*0.5</f>
        <v>10845</v>
      </c>
      <c r="L30" s="268"/>
      <c r="N30" s="59" t="s">
        <v>190</v>
      </c>
      <c r="U30" s="164">
        <v>115</v>
      </c>
      <c r="V30" s="187">
        <v>945.5</v>
      </c>
      <c r="W30" s="188">
        <v>941.1</v>
      </c>
      <c r="X30" s="169">
        <f>W30*100/W48</f>
        <v>3.611793074307144</v>
      </c>
      <c r="Y30" s="170">
        <f>V30*100/V48</f>
        <v>3.426618538169377</v>
      </c>
      <c r="Z30" s="37"/>
      <c r="AA30" s="183">
        <v>115</v>
      </c>
      <c r="AB30" s="189">
        <v>945.5</v>
      </c>
      <c r="AC30" s="190">
        <v>941.1</v>
      </c>
      <c r="AD30" s="169">
        <f>AC30*100/AC56</f>
        <v>3.611793074307144</v>
      </c>
      <c r="AE30" s="186">
        <f>AB30*100/AB56</f>
        <v>2.5787465464433477</v>
      </c>
    </row>
    <row r="31" spans="1:44">
      <c r="A31" s="140">
        <v>8</v>
      </c>
      <c r="B31" s="273" t="s">
        <v>288</v>
      </c>
      <c r="C31" s="274"/>
      <c r="D31" s="274"/>
      <c r="E31" s="274"/>
      <c r="F31" s="274"/>
      <c r="G31" s="274"/>
      <c r="H31" s="275"/>
      <c r="I31" s="145" t="s">
        <v>195</v>
      </c>
      <c r="J31" s="146" t="s">
        <v>195</v>
      </c>
      <c r="K31" s="331">
        <f>(13250+1000)/27</f>
        <v>527.77777777777783</v>
      </c>
      <c r="L31" s="332"/>
      <c r="N31" t="s">
        <v>196</v>
      </c>
      <c r="U31" s="164">
        <v>117</v>
      </c>
      <c r="V31" s="187">
        <v>581.1</v>
      </c>
      <c r="W31" s="188">
        <v>682.1</v>
      </c>
      <c r="X31" s="169">
        <f>W31*100/W48</f>
        <v>2.6177920050843726</v>
      </c>
      <c r="Y31" s="170">
        <f>V31*100/V48</f>
        <v>2.1059841697834214</v>
      </c>
      <c r="Z31" s="37"/>
      <c r="AA31" s="183">
        <v>117</v>
      </c>
      <c r="AB31" s="189">
        <v>581.1</v>
      </c>
      <c r="AC31" s="190">
        <v>682.1</v>
      </c>
      <c r="AD31" s="169">
        <f>AC31*100/AC56</f>
        <v>2.6177920050843726</v>
      </c>
      <c r="AE31" s="186">
        <f>AB31*100/AB56</f>
        <v>1.5848858996702584</v>
      </c>
    </row>
    <row r="32" spans="1:44">
      <c r="A32" s="140">
        <v>9</v>
      </c>
      <c r="B32" s="273" t="s">
        <v>303</v>
      </c>
      <c r="C32" s="274"/>
      <c r="D32" s="274"/>
      <c r="E32" s="274"/>
      <c r="F32" s="274"/>
      <c r="G32" s="274"/>
      <c r="H32" s="275"/>
      <c r="I32" s="210" t="s">
        <v>267</v>
      </c>
      <c r="J32" s="220">
        <f>1080/12</f>
        <v>90</v>
      </c>
      <c r="K32" s="267">
        <f>(8028.13+3000)/12</f>
        <v>919.01083333333338</v>
      </c>
      <c r="L32" s="268"/>
      <c r="M32" s="91"/>
      <c r="N32" s="91" t="s">
        <v>304</v>
      </c>
      <c r="O32" s="91"/>
      <c r="P32" s="91"/>
      <c r="Q32" s="91"/>
      <c r="S32" s="76" t="s">
        <v>305</v>
      </c>
      <c r="U32" s="164">
        <v>119</v>
      </c>
      <c r="V32" s="187">
        <v>945.5</v>
      </c>
      <c r="W32" s="188">
        <v>942.5</v>
      </c>
      <c r="X32" s="169">
        <f>W32*100/W48</f>
        <v>3.6171660530596998</v>
      </c>
      <c r="Y32" s="170">
        <f>V32*100/V48</f>
        <v>3.426618538169377</v>
      </c>
      <c r="Z32" s="37"/>
      <c r="AA32" s="183">
        <v>119</v>
      </c>
      <c r="AB32" s="189">
        <v>945.5</v>
      </c>
      <c r="AC32" s="190">
        <v>942.5</v>
      </c>
      <c r="AD32" s="169">
        <f>AC32*100/AC56</f>
        <v>3.6171660530596998</v>
      </c>
      <c r="AE32" s="186">
        <f>AB32*100/AB56</f>
        <v>2.5787465464433477</v>
      </c>
    </row>
    <row r="33" spans="1:31">
      <c r="A33" s="140">
        <v>10</v>
      </c>
      <c r="B33" s="212" t="s">
        <v>189</v>
      </c>
      <c r="C33" s="213"/>
      <c r="D33" s="213"/>
      <c r="E33" s="213"/>
      <c r="F33" s="213"/>
      <c r="G33" s="213"/>
      <c r="H33" s="213"/>
      <c r="I33" s="140" t="s">
        <v>103</v>
      </c>
      <c r="J33" s="111">
        <v>2</v>
      </c>
      <c r="K33" s="267">
        <v>530</v>
      </c>
      <c r="L33" s="268"/>
      <c r="M33" s="65"/>
      <c r="N33" s="49"/>
      <c r="U33" s="164">
        <v>120</v>
      </c>
      <c r="V33" s="187">
        <v>931.8</v>
      </c>
      <c r="W33" s="188">
        <v>936.2</v>
      </c>
      <c r="X33" s="169">
        <f>W33*100/W48</f>
        <v>3.5929876486732</v>
      </c>
      <c r="Y33" s="170">
        <f>V33*100/V48</f>
        <v>3.3769679046707832</v>
      </c>
      <c r="Z33" s="37"/>
      <c r="AA33" s="183">
        <v>120</v>
      </c>
      <c r="AB33" s="189">
        <v>931.8</v>
      </c>
      <c r="AC33" s="190">
        <v>936.2</v>
      </c>
      <c r="AD33" s="169">
        <f>AC33*100/AC56</f>
        <v>3.5929876486732</v>
      </c>
      <c r="AE33" s="186">
        <f>AB33*100/AB56</f>
        <v>2.5413813135652155</v>
      </c>
    </row>
    <row r="34" spans="1:31">
      <c r="A34" s="140">
        <v>11</v>
      </c>
      <c r="B34" s="273" t="s">
        <v>308</v>
      </c>
      <c r="C34" s="274"/>
      <c r="D34" s="274"/>
      <c r="E34" s="274"/>
      <c r="F34" s="274"/>
      <c r="G34" s="274"/>
      <c r="H34" s="275"/>
      <c r="I34" s="144" t="s">
        <v>103</v>
      </c>
      <c r="J34" s="142">
        <v>1</v>
      </c>
      <c r="K34" s="331">
        <f>24032/8</f>
        <v>3004</v>
      </c>
      <c r="L34" s="332"/>
      <c r="M34" s="69"/>
      <c r="N34" s="69" t="s">
        <v>197</v>
      </c>
      <c r="O34" s="69"/>
      <c r="U34" s="164">
        <v>121</v>
      </c>
      <c r="V34" s="187">
        <v>933.8</v>
      </c>
      <c r="W34" s="188">
        <v>934.2</v>
      </c>
      <c r="X34" s="169">
        <f>W34*100/W48</f>
        <v>3.5853119647409777</v>
      </c>
      <c r="Y34" s="170">
        <f>V34*100/V48</f>
        <v>3.3842161723348116</v>
      </c>
      <c r="Z34" s="37"/>
      <c r="AA34" s="183">
        <v>121</v>
      </c>
      <c r="AB34" s="189">
        <v>933.8</v>
      </c>
      <c r="AC34" s="190">
        <v>934.2</v>
      </c>
      <c r="AD34" s="169">
        <f>AC34*100/AC56</f>
        <v>3.5853119647409777</v>
      </c>
      <c r="AE34" s="186">
        <f>AB34*100/AB56</f>
        <v>2.5468360920875708</v>
      </c>
    </row>
    <row r="35" spans="1:31">
      <c r="A35" s="140">
        <v>12</v>
      </c>
      <c r="B35" s="273" t="s">
        <v>289</v>
      </c>
      <c r="C35" s="274"/>
      <c r="D35" s="274"/>
      <c r="E35" s="274"/>
      <c r="F35" s="274"/>
      <c r="G35" s="274"/>
      <c r="H35" s="275"/>
      <c r="I35" s="210" t="s">
        <v>107</v>
      </c>
      <c r="J35" s="140">
        <v>12</v>
      </c>
      <c r="K35" s="331">
        <f>2000*12*0.05</f>
        <v>1200</v>
      </c>
      <c r="L35" s="332"/>
      <c r="N35" s="90"/>
      <c r="U35" s="164">
        <v>122</v>
      </c>
      <c r="V35" s="187">
        <v>934.9</v>
      </c>
      <c r="W35" s="188">
        <v>935.3</v>
      </c>
      <c r="X35" s="169">
        <f>W35*100/W48</f>
        <v>3.5895335909036996</v>
      </c>
      <c r="Y35" s="170">
        <f>V35*100/V48</f>
        <v>3.3882027195500273</v>
      </c>
      <c r="Z35" s="37"/>
      <c r="AA35" s="183">
        <v>122</v>
      </c>
      <c r="AB35" s="189">
        <v>934.9</v>
      </c>
      <c r="AC35" s="190">
        <v>935.3</v>
      </c>
      <c r="AD35" s="169">
        <f>AC35*100/AC56</f>
        <v>3.5895335909036996</v>
      </c>
      <c r="AE35" s="186">
        <f>AB35*100/AB56</f>
        <v>2.5498362202748659</v>
      </c>
    </row>
    <row r="36" spans="1:31">
      <c r="A36" s="140">
        <v>13</v>
      </c>
      <c r="B36" s="273" t="s">
        <v>280</v>
      </c>
      <c r="C36" s="274"/>
      <c r="D36" s="274"/>
      <c r="E36" s="274"/>
      <c r="F36" s="274"/>
      <c r="G36" s="274"/>
      <c r="H36" s="275"/>
      <c r="I36" s="144" t="s">
        <v>103</v>
      </c>
      <c r="J36" s="140">
        <v>4</v>
      </c>
      <c r="K36" s="331">
        <f>319.2*4*0.25</f>
        <v>319.2</v>
      </c>
      <c r="L36" s="332"/>
      <c r="U36" s="164">
        <v>123</v>
      </c>
      <c r="V36" s="187">
        <v>935.5</v>
      </c>
      <c r="W36" s="188">
        <v>938.1</v>
      </c>
      <c r="X36" s="169">
        <f>W36*100/W48</f>
        <v>3.6002795484088108</v>
      </c>
      <c r="Y36" s="170">
        <f>V36*100/V48</f>
        <v>3.3903771998492358</v>
      </c>
      <c r="Z36" s="37"/>
      <c r="AA36" s="183">
        <v>123</v>
      </c>
      <c r="AB36" s="189">
        <v>935.5</v>
      </c>
      <c r="AC36" s="190">
        <v>938.1</v>
      </c>
      <c r="AD36" s="169">
        <f>AC36*100/AC56</f>
        <v>3.6002795484088108</v>
      </c>
      <c r="AE36" s="186">
        <f>AB36*100/AB56</f>
        <v>2.5514726538315724</v>
      </c>
    </row>
    <row r="37" spans="1:31">
      <c r="A37" s="140">
        <v>14</v>
      </c>
      <c r="B37" s="273" t="s">
        <v>281</v>
      </c>
      <c r="C37" s="274"/>
      <c r="D37" s="274"/>
      <c r="E37" s="274"/>
      <c r="F37" s="274"/>
      <c r="G37" s="274"/>
      <c r="H37" s="275"/>
      <c r="I37" s="144" t="s">
        <v>103</v>
      </c>
      <c r="J37" s="140">
        <v>4</v>
      </c>
      <c r="K37" s="331">
        <f>116.8*4*0.25</f>
        <v>116.8</v>
      </c>
      <c r="L37" s="332"/>
      <c r="U37" s="164">
        <v>124</v>
      </c>
      <c r="V37" s="187">
        <v>935.1</v>
      </c>
      <c r="W37" s="188">
        <v>935.1</v>
      </c>
      <c r="X37" s="169">
        <f>W37*100/W48</f>
        <v>3.5887660225104776</v>
      </c>
      <c r="Y37" s="170">
        <f>V37*100/V48</f>
        <v>3.3889275463164301</v>
      </c>
      <c r="Z37" s="37"/>
      <c r="AA37" s="183">
        <v>124</v>
      </c>
      <c r="AB37" s="189">
        <v>935.1</v>
      </c>
      <c r="AC37" s="190">
        <v>935.1</v>
      </c>
      <c r="AD37" s="169">
        <f>AC37*100/AC56</f>
        <v>3.5887660225104776</v>
      </c>
      <c r="AE37" s="186">
        <f>AB37*100/AB56</f>
        <v>2.5503816981271012</v>
      </c>
    </row>
    <row r="38" spans="1:31">
      <c r="A38" s="140">
        <v>15</v>
      </c>
      <c r="B38" s="273" t="s">
        <v>259</v>
      </c>
      <c r="C38" s="274"/>
      <c r="D38" s="274"/>
      <c r="E38" s="274"/>
      <c r="F38" s="274"/>
      <c r="G38" s="274"/>
      <c r="H38" s="275"/>
      <c r="I38" s="144" t="s">
        <v>107</v>
      </c>
      <c r="J38" s="140">
        <v>12</v>
      </c>
      <c r="K38" s="331">
        <f>2000*12*0.2562</f>
        <v>6148.7999999999993</v>
      </c>
      <c r="L38" s="332"/>
      <c r="U38" s="164">
        <v>82</v>
      </c>
      <c r="V38" s="187">
        <v>1139.2</v>
      </c>
      <c r="W38" s="188">
        <v>961.1</v>
      </c>
      <c r="X38" s="169">
        <f>W38*100/W48</f>
        <v>3.688549913629366</v>
      </c>
      <c r="Y38" s="170">
        <f>V38*100/V48</f>
        <v>4.1286132614305178</v>
      </c>
      <c r="Z38" s="37"/>
      <c r="AA38" s="183">
        <v>82</v>
      </c>
      <c r="AB38" s="189">
        <v>1139.2</v>
      </c>
      <c r="AC38" s="190">
        <v>961.1</v>
      </c>
      <c r="AD38" s="169">
        <f>AC38*100/AC56</f>
        <v>3.688549913629366</v>
      </c>
      <c r="AE38" s="186">
        <f>AB38*100/AB56</f>
        <v>3.1070418463334337</v>
      </c>
    </row>
    <row r="39" spans="1:31">
      <c r="A39" s="140">
        <v>16</v>
      </c>
      <c r="B39" s="273" t="s">
        <v>306</v>
      </c>
      <c r="C39" s="274"/>
      <c r="D39" s="274"/>
      <c r="E39" s="274"/>
      <c r="F39" s="274"/>
      <c r="G39" s="274"/>
      <c r="H39" s="275"/>
      <c r="I39" s="140" t="s">
        <v>103</v>
      </c>
      <c r="J39" s="140">
        <v>1</v>
      </c>
      <c r="K39" s="331">
        <f>6000*0.5</f>
        <v>3000</v>
      </c>
      <c r="L39" s="332"/>
      <c r="M39" s="69" t="s">
        <v>307</v>
      </c>
      <c r="N39" s="69"/>
      <c r="O39" s="69"/>
      <c r="P39" s="69"/>
      <c r="U39" s="164">
        <v>83</v>
      </c>
      <c r="V39" s="187">
        <v>1138.9000000000001</v>
      </c>
      <c r="W39" s="188">
        <v>637.9</v>
      </c>
      <c r="X39" s="169">
        <f>W39*100/W48</f>
        <v>2.4481593901822625</v>
      </c>
      <c r="Y39" s="170">
        <f>V39*100/V48</f>
        <v>4.1275260212809144</v>
      </c>
      <c r="Z39" s="37"/>
      <c r="AA39" s="183">
        <v>83</v>
      </c>
      <c r="AB39" s="189">
        <v>1138.9000000000001</v>
      </c>
      <c r="AC39" s="190">
        <v>637.9</v>
      </c>
      <c r="AD39" s="169">
        <f>AC39*100/AC56</f>
        <v>2.4481593901822625</v>
      </c>
      <c r="AE39" s="186">
        <f>AB39*100/AB56</f>
        <v>3.1062236295550809</v>
      </c>
    </row>
    <row r="40" spans="1:31">
      <c r="A40" s="140">
        <v>17</v>
      </c>
      <c r="B40" s="273" t="s">
        <v>282</v>
      </c>
      <c r="C40" s="342"/>
      <c r="D40" s="342"/>
      <c r="E40" s="342"/>
      <c r="F40" s="342"/>
      <c r="G40" s="342"/>
      <c r="H40" s="275"/>
      <c r="I40" s="140" t="s">
        <v>103</v>
      </c>
      <c r="J40" s="122">
        <v>2</v>
      </c>
      <c r="K40" s="267">
        <f>(9000+5031)/3*2*0.0413</f>
        <v>386.32020000000006</v>
      </c>
      <c r="L40" s="268"/>
      <c r="U40" s="164">
        <v>84</v>
      </c>
      <c r="V40" s="187">
        <v>1139</v>
      </c>
      <c r="W40" s="188">
        <v>945.6</v>
      </c>
      <c r="X40" s="169">
        <f>W40*100/W48</f>
        <v>3.6290633631546441</v>
      </c>
      <c r="Y40" s="170">
        <f>V40*100/V48</f>
        <v>4.1278884346641149</v>
      </c>
      <c r="Z40" s="37"/>
      <c r="AA40" s="183">
        <v>84</v>
      </c>
      <c r="AB40" s="189">
        <v>1139</v>
      </c>
      <c r="AC40" s="190">
        <v>945.6</v>
      </c>
      <c r="AD40" s="169">
        <f>AC40*100/AC56</f>
        <v>3.6290633631546441</v>
      </c>
      <c r="AE40" s="186">
        <f>AB40*100/AB56</f>
        <v>3.1064963684811984</v>
      </c>
    </row>
    <row r="41" spans="1:31">
      <c r="A41" s="140">
        <v>18</v>
      </c>
      <c r="B41" s="273" t="s">
        <v>283</v>
      </c>
      <c r="C41" s="274"/>
      <c r="D41" s="274"/>
      <c r="E41" s="274"/>
      <c r="F41" s="274"/>
      <c r="G41" s="274"/>
      <c r="H41" s="275"/>
      <c r="I41" s="140" t="s">
        <v>103</v>
      </c>
      <c r="J41" s="142">
        <v>2</v>
      </c>
      <c r="K41" s="267">
        <f>14342*0.0413</f>
        <v>592.32460000000003</v>
      </c>
      <c r="L41" s="268"/>
      <c r="N41" s="90" t="s">
        <v>226</v>
      </c>
      <c r="O41" s="91"/>
      <c r="P41" s="91"/>
      <c r="Q41" s="91"/>
      <c r="U41" s="164">
        <v>85</v>
      </c>
      <c r="V41" s="187">
        <v>1142.4000000000001</v>
      </c>
      <c r="W41" s="188">
        <v>892.1</v>
      </c>
      <c r="X41" s="169">
        <f>W41*100/W48</f>
        <v>3.4237388179677009</v>
      </c>
      <c r="Y41" s="170">
        <f>V41*100/V48</f>
        <v>4.1402104896929632</v>
      </c>
      <c r="Z41" s="37"/>
      <c r="AA41" s="183">
        <v>85</v>
      </c>
      <c r="AB41" s="189">
        <v>1142.4000000000001</v>
      </c>
      <c r="AC41" s="190">
        <v>892.1</v>
      </c>
      <c r="AD41" s="169">
        <f>AC41*100/AC56</f>
        <v>3.4237388179677009</v>
      </c>
      <c r="AE41" s="186">
        <f>AB41*100/AB56</f>
        <v>3.1157694919692021</v>
      </c>
    </row>
    <row r="42" spans="1:31">
      <c r="A42" s="140"/>
      <c r="B42" s="273" t="s">
        <v>240</v>
      </c>
      <c r="C42" s="274"/>
      <c r="D42" s="274"/>
      <c r="E42" s="274"/>
      <c r="F42" s="274"/>
      <c r="G42" s="274"/>
      <c r="H42" s="274"/>
      <c r="I42" s="140"/>
      <c r="J42" s="111"/>
      <c r="K42" s="350">
        <f>SUM(K24:L41)</f>
        <v>33062.42238711111</v>
      </c>
      <c r="L42" s="351"/>
      <c r="U42" s="164">
        <v>90</v>
      </c>
      <c r="V42" s="176">
        <v>1139.3</v>
      </c>
      <c r="W42" s="177">
        <v>1139.3</v>
      </c>
      <c r="X42" s="169">
        <f>W42*100/W48</f>
        <v>4.3724533519903614</v>
      </c>
      <c r="Y42" s="170">
        <f>V42*100/V48</f>
        <v>4.1289756748137192</v>
      </c>
      <c r="Z42" s="37"/>
      <c r="AA42" s="183">
        <v>90</v>
      </c>
      <c r="AB42" s="184">
        <v>1139.3</v>
      </c>
      <c r="AC42" s="185">
        <v>1139.3</v>
      </c>
      <c r="AD42" s="169">
        <f>AC42*100/AC56</f>
        <v>4.3724533519903614</v>
      </c>
      <c r="AE42" s="186">
        <f>AB42*100/AB56</f>
        <v>3.1073145852595516</v>
      </c>
    </row>
    <row r="43" spans="1:31">
      <c r="A43" s="140"/>
      <c r="B43" s="273" t="s">
        <v>270</v>
      </c>
      <c r="C43" s="274"/>
      <c r="D43" s="274"/>
      <c r="E43" s="274"/>
      <c r="F43" s="274"/>
      <c r="G43" s="274"/>
      <c r="H43" s="274"/>
      <c r="I43" s="140"/>
      <c r="J43" s="111"/>
      <c r="K43" s="267">
        <f>K42*0.14</f>
        <v>4628.7391341955554</v>
      </c>
      <c r="L43" s="268"/>
      <c r="U43" s="164">
        <v>91</v>
      </c>
      <c r="V43" s="176">
        <v>1138.4000000000001</v>
      </c>
      <c r="W43" s="177">
        <v>1123.3</v>
      </c>
      <c r="X43" s="169">
        <f>W43*100/W48</f>
        <v>4.311047880532584</v>
      </c>
      <c r="Y43" s="170">
        <f>V43*100/V48</f>
        <v>4.1257139543649073</v>
      </c>
      <c r="Z43" s="37"/>
      <c r="AA43" s="183">
        <v>91</v>
      </c>
      <c r="AB43" s="184">
        <v>1138.4000000000001</v>
      </c>
      <c r="AC43" s="185">
        <v>1123.3</v>
      </c>
      <c r="AD43" s="169">
        <f>AC43*100/AC56</f>
        <v>4.311047880532584</v>
      </c>
      <c r="AE43" s="186">
        <f>AB43*100/AB56</f>
        <v>3.1048599349244923</v>
      </c>
    </row>
    <row r="44" spans="1:31" ht="15.75" thickBot="1">
      <c r="A44" s="140"/>
      <c r="B44" s="115" t="s">
        <v>242</v>
      </c>
      <c r="I44" s="147"/>
      <c r="K44" s="348">
        <f>SUM(K42:L43)</f>
        <v>37691.161521306669</v>
      </c>
      <c r="L44" s="349"/>
      <c r="U44" s="164">
        <v>92</v>
      </c>
      <c r="V44" s="176">
        <v>1138.9000000000001</v>
      </c>
      <c r="W44" s="177">
        <v>1138.9000000000001</v>
      </c>
      <c r="X44" s="169">
        <f>W44*100/W48</f>
        <v>4.3709182152039174</v>
      </c>
      <c r="Y44" s="170">
        <f>V44*100/V48</f>
        <v>4.1275260212809144</v>
      </c>
      <c r="Z44" s="37"/>
      <c r="AA44" s="183">
        <v>92</v>
      </c>
      <c r="AB44" s="184">
        <v>1138.9000000000001</v>
      </c>
      <c r="AC44" s="185">
        <v>1138.9000000000001</v>
      </c>
      <c r="AD44" s="169">
        <f>AC44*100/AC56</f>
        <v>4.3709182152039174</v>
      </c>
      <c r="AE44" s="186">
        <f>AB44*100/AB56</f>
        <v>3.1062236295550809</v>
      </c>
    </row>
    <row r="45" spans="1:31" ht="16.5" thickBot="1">
      <c r="A45" s="148"/>
      <c r="B45" s="139" t="s">
        <v>243</v>
      </c>
      <c r="C45" s="149"/>
      <c r="D45" s="149"/>
      <c r="E45" s="149"/>
      <c r="F45" s="149"/>
      <c r="G45" s="149"/>
      <c r="H45" s="150"/>
      <c r="I45" s="148"/>
      <c r="J45" s="148"/>
      <c r="K45" s="352">
        <f>K44+K23</f>
        <v>71827.88713730668</v>
      </c>
      <c r="L45" s="353"/>
      <c r="U45" s="164">
        <v>93</v>
      </c>
      <c r="V45" s="187">
        <v>1135.5</v>
      </c>
      <c r="W45" s="188">
        <v>801.7</v>
      </c>
      <c r="X45" s="169">
        <f>W45*100/W48</f>
        <v>3.0767979042312588</v>
      </c>
      <c r="Y45" s="170">
        <f>V45*100/V48</f>
        <v>4.1152039662520652</v>
      </c>
      <c r="Z45" s="37"/>
      <c r="AA45" s="183">
        <v>93</v>
      </c>
      <c r="AB45" s="189">
        <v>1135.5</v>
      </c>
      <c r="AC45" s="190">
        <v>801.7</v>
      </c>
      <c r="AD45" s="169">
        <f>AC45*100/AC56</f>
        <v>3.0767979042312588</v>
      </c>
      <c r="AE45" s="186">
        <f>AB45*100/AB56</f>
        <v>3.0969505060670768</v>
      </c>
    </row>
    <row r="46" spans="1:31">
      <c r="A46" s="115" t="s">
        <v>23</v>
      </c>
      <c r="U46" s="164">
        <v>98</v>
      </c>
      <c r="V46" s="176">
        <v>1140.2</v>
      </c>
      <c r="W46" s="177">
        <v>1140.2</v>
      </c>
      <c r="X46" s="169">
        <f>W46*100/W48</f>
        <v>4.3759074097598614</v>
      </c>
      <c r="Y46" s="170">
        <f>V46*100/V48</f>
        <v>4.132237395262532</v>
      </c>
      <c r="Z46" s="37"/>
      <c r="AA46" s="183">
        <v>98</v>
      </c>
      <c r="AB46" s="184">
        <v>1140.2</v>
      </c>
      <c r="AC46" s="185">
        <v>1140.2</v>
      </c>
      <c r="AD46" s="169">
        <f>AC46*100/AC56</f>
        <v>4.3759074097598614</v>
      </c>
      <c r="AE46" s="186">
        <f>AB46*100/AB56</f>
        <v>3.1097692355946114</v>
      </c>
    </row>
    <row r="47" spans="1:31">
      <c r="A47" s="115" t="s">
        <v>25</v>
      </c>
      <c r="D47" s="218">
        <f>I4</f>
        <v>2013</v>
      </c>
      <c r="E47" s="115" t="s">
        <v>26</v>
      </c>
      <c r="G47" s="151">
        <f>K45-G19</f>
        <v>4059.5182052678429</v>
      </c>
      <c r="H47" s="115" t="s">
        <v>27</v>
      </c>
      <c r="U47" s="191">
        <v>99</v>
      </c>
      <c r="V47" s="192">
        <v>1139.5999999999999</v>
      </c>
      <c r="W47" s="193">
        <v>1177.4000000000001</v>
      </c>
      <c r="X47" s="194">
        <f>W47*100/W48</f>
        <v>4.5186751308991946</v>
      </c>
      <c r="Y47" s="195">
        <f>V47*100/V48</f>
        <v>4.1300629149633226</v>
      </c>
      <c r="Z47" s="37"/>
      <c r="AA47" s="183">
        <v>99</v>
      </c>
      <c r="AB47" s="184">
        <v>1139.5999999999999</v>
      </c>
      <c r="AC47" s="185">
        <v>1177.4000000000001</v>
      </c>
      <c r="AD47" s="169">
        <f>AC47*100/AC56</f>
        <v>4.5186751308991946</v>
      </c>
      <c r="AE47" s="186">
        <f>AB47*100/AB56</f>
        <v>3.1081328020379044</v>
      </c>
    </row>
    <row r="48" spans="1:31" ht="15.75" thickBot="1">
      <c r="A48" s="115" t="s">
        <v>28</v>
      </c>
      <c r="B48" s="218">
        <f>I4</f>
        <v>2013</v>
      </c>
      <c r="C48" s="115" t="s">
        <v>31</v>
      </c>
      <c r="V48" s="27">
        <f>SUM(V21:V47)</f>
        <v>27592.800000000003</v>
      </c>
      <c r="W48" s="36">
        <f>SUM(W21:W47)</f>
        <v>26056.310000000005</v>
      </c>
      <c r="X48" s="37">
        <f>SUM(X21:X47)</f>
        <v>100</v>
      </c>
      <c r="Y48" s="37">
        <f>SUM(Y21:Y47)</f>
        <v>100</v>
      </c>
      <c r="Z48" s="37"/>
      <c r="AA48" s="196">
        <v>70</v>
      </c>
      <c r="AB48" s="197">
        <v>1136.5999999999999</v>
      </c>
      <c r="AC48" s="198"/>
      <c r="AD48" s="169"/>
      <c r="AE48" s="186">
        <f>AB48*100/AB56</f>
        <v>3.0999506342543719</v>
      </c>
    </row>
    <row r="49" spans="1:31">
      <c r="A49" s="215" t="s">
        <v>2</v>
      </c>
      <c r="B49" s="354" t="s">
        <v>41</v>
      </c>
      <c r="C49" s="355"/>
      <c r="D49" s="355"/>
      <c r="E49" s="355"/>
      <c r="F49" s="354" t="s">
        <v>42</v>
      </c>
      <c r="G49" s="355"/>
      <c r="H49" s="356"/>
      <c r="I49" s="354" t="s">
        <v>43</v>
      </c>
      <c r="J49" s="355"/>
      <c r="K49" s="355"/>
      <c r="L49" s="356"/>
      <c r="Z49" s="37"/>
      <c r="AA49" s="199">
        <v>71</v>
      </c>
      <c r="AB49" s="197">
        <v>1132.9000000000001</v>
      </c>
      <c r="AC49" s="198"/>
      <c r="AD49" s="169"/>
      <c r="AE49" s="186">
        <f>AB49*100/AB56</f>
        <v>3.0898592939880158</v>
      </c>
    </row>
    <row r="50" spans="1:31" ht="15.75" thickBot="1">
      <c r="A50" s="152"/>
      <c r="B50" s="357"/>
      <c r="C50" s="358"/>
      <c r="D50" s="358"/>
      <c r="E50" s="358"/>
      <c r="F50" s="357"/>
      <c r="G50" s="358"/>
      <c r="H50" s="359"/>
      <c r="I50" s="357" t="s">
        <v>244</v>
      </c>
      <c r="J50" s="358"/>
      <c r="K50" s="358"/>
      <c r="L50" s="359"/>
      <c r="Z50" s="37"/>
      <c r="AA50" s="199">
        <v>72</v>
      </c>
      <c r="AB50" s="197">
        <v>1135.5999999999999</v>
      </c>
      <c r="AC50" s="198"/>
      <c r="AD50" s="169"/>
      <c r="AE50" s="186">
        <f>AB50*100/AB56</f>
        <v>3.0972232449931942</v>
      </c>
    </row>
    <row r="51" spans="1:31">
      <c r="A51" s="153" t="s">
        <v>34</v>
      </c>
      <c r="B51" s="339" t="s">
        <v>44</v>
      </c>
      <c r="C51" s="339"/>
      <c r="D51" s="339"/>
      <c r="E51" s="340"/>
      <c r="F51" s="360" t="s">
        <v>268</v>
      </c>
      <c r="G51" s="361"/>
      <c r="H51" s="362"/>
      <c r="I51" s="360" t="s">
        <v>296</v>
      </c>
      <c r="J51" s="361"/>
      <c r="K51" s="361"/>
      <c r="L51" s="362"/>
      <c r="Z51" s="37"/>
      <c r="AA51" s="199">
        <v>73</v>
      </c>
      <c r="AB51" s="197">
        <v>1135.7</v>
      </c>
      <c r="AC51" s="198"/>
      <c r="AD51" s="169"/>
      <c r="AE51" s="186">
        <f>AB51*100/AB56</f>
        <v>3.0974959839193126</v>
      </c>
    </row>
    <row r="52" spans="1:31">
      <c r="A52" s="140" t="s">
        <v>35</v>
      </c>
      <c r="B52" s="274" t="s">
        <v>45</v>
      </c>
      <c r="C52" s="274"/>
      <c r="D52" s="274"/>
      <c r="E52" s="275"/>
      <c r="F52" s="333" t="s">
        <v>269</v>
      </c>
      <c r="G52" s="334"/>
      <c r="H52" s="335"/>
      <c r="I52" s="333" t="s">
        <v>51</v>
      </c>
      <c r="J52" s="334"/>
      <c r="K52" s="334"/>
      <c r="L52" s="335"/>
      <c r="Z52" s="37"/>
      <c r="AA52" s="199">
        <v>76</v>
      </c>
      <c r="AB52" s="197">
        <v>1134.5</v>
      </c>
      <c r="AC52" s="198"/>
      <c r="AD52" s="169"/>
      <c r="AE52" s="186">
        <f>AB52*100/AB56</f>
        <v>3.0942231168058996</v>
      </c>
    </row>
    <row r="53" spans="1:31">
      <c r="A53" s="140" t="s">
        <v>36</v>
      </c>
      <c r="B53" s="274" t="s">
        <v>47</v>
      </c>
      <c r="C53" s="274"/>
      <c r="D53" s="274"/>
      <c r="E53" s="275"/>
      <c r="F53" s="333" t="s">
        <v>248</v>
      </c>
      <c r="G53" s="334"/>
      <c r="H53" s="335"/>
      <c r="I53" s="333" t="s">
        <v>249</v>
      </c>
      <c r="J53" s="334"/>
      <c r="K53" s="334"/>
      <c r="L53" s="335"/>
      <c r="Z53" s="37"/>
      <c r="AA53" s="199">
        <v>77</v>
      </c>
      <c r="AB53" s="197">
        <v>1131</v>
      </c>
      <c r="AC53" s="198"/>
      <c r="AD53" s="169"/>
      <c r="AE53" s="186">
        <f>AB53*100/AB56</f>
        <v>3.084677254391778</v>
      </c>
    </row>
    <row r="54" spans="1:31">
      <c r="A54" s="140" t="s">
        <v>37</v>
      </c>
      <c r="B54" s="274" t="s">
        <v>48</v>
      </c>
      <c r="C54" s="274"/>
      <c r="D54" s="274"/>
      <c r="E54" s="275"/>
      <c r="F54" s="333" t="s">
        <v>250</v>
      </c>
      <c r="G54" s="334"/>
      <c r="H54" s="335"/>
      <c r="I54" s="333" t="s">
        <v>251</v>
      </c>
      <c r="J54" s="334"/>
      <c r="K54" s="334"/>
      <c r="L54" s="335"/>
      <c r="Z54" s="37"/>
      <c r="AA54" s="199">
        <v>78</v>
      </c>
      <c r="AB54" s="197">
        <v>1129</v>
      </c>
      <c r="AC54" s="198"/>
      <c r="AD54" s="169"/>
      <c r="AE54" s="186">
        <f>AB54*100/AB56</f>
        <v>3.0792224758694231</v>
      </c>
    </row>
    <row r="55" spans="1:31">
      <c r="A55" s="140" t="s">
        <v>38</v>
      </c>
      <c r="B55" s="274" t="s">
        <v>49</v>
      </c>
      <c r="C55" s="274"/>
      <c r="D55" s="274"/>
      <c r="E55" s="275"/>
      <c r="F55" s="333" t="s">
        <v>252</v>
      </c>
      <c r="G55" s="334"/>
      <c r="H55" s="335"/>
      <c r="I55" s="333" t="s">
        <v>253</v>
      </c>
      <c r="J55" s="334"/>
      <c r="K55" s="334"/>
      <c r="L55" s="335"/>
      <c r="Z55" s="37"/>
      <c r="AA55" s="200">
        <v>79</v>
      </c>
      <c r="AB55" s="201">
        <v>1137</v>
      </c>
      <c r="AC55" s="202"/>
      <c r="AD55" s="194"/>
      <c r="AE55" s="203">
        <f>AB55*100/AB56</f>
        <v>3.101041589958843</v>
      </c>
    </row>
    <row r="56" spans="1:31" ht="15.75" thickBot="1">
      <c r="A56" s="154" t="s">
        <v>39</v>
      </c>
      <c r="B56" s="365" t="s">
        <v>50</v>
      </c>
      <c r="C56" s="365"/>
      <c r="D56" s="365"/>
      <c r="E56" s="366"/>
      <c r="F56" s="367" t="s">
        <v>254</v>
      </c>
      <c r="G56" s="368"/>
      <c r="H56" s="369"/>
      <c r="I56" s="367" t="s">
        <v>255</v>
      </c>
      <c r="J56" s="368"/>
      <c r="K56" s="368"/>
      <c r="L56" s="369"/>
      <c r="Z56" s="37"/>
      <c r="AA56" s="204"/>
      <c r="AB56" s="205">
        <f>SUM(AB21:AB55)</f>
        <v>36665.100000000006</v>
      </c>
      <c r="AC56" s="206">
        <f>SUM(AC21:AC47)</f>
        <v>26056.310000000005</v>
      </c>
      <c r="AD56" s="207">
        <f>SUM(AD21:AD47)</f>
        <v>100</v>
      </c>
      <c r="AE56" s="208">
        <f>SUM(AE21:AE55)</f>
        <v>99.999999999999986</v>
      </c>
    </row>
    <row r="57" spans="1:31">
      <c r="Z57" s="37"/>
    </row>
    <row r="58" spans="1:31">
      <c r="A58" s="155" t="s">
        <v>55</v>
      </c>
      <c r="B58" s="218">
        <f>I4+1</f>
        <v>2014</v>
      </c>
      <c r="C58" s="115" t="s">
        <v>56</v>
      </c>
    </row>
    <row r="59" spans="1:31">
      <c r="A59" s="213" t="s">
        <v>294</v>
      </c>
    </row>
    <row r="60" spans="1:31">
      <c r="A60" s="213" t="s">
        <v>53</v>
      </c>
      <c r="F60" s="156">
        <f>H81</f>
        <v>6.0883583571185689</v>
      </c>
      <c r="G60" s="115" t="s">
        <v>54</v>
      </c>
    </row>
    <row r="61" spans="1:31">
      <c r="A61" s="213" t="s">
        <v>92</v>
      </c>
      <c r="C61" s="157"/>
      <c r="G61" s="218"/>
    </row>
    <row r="62" spans="1:31">
      <c r="A62" s="213" t="s">
        <v>96</v>
      </c>
      <c r="E62" s="218"/>
      <c r="K62" s="122"/>
    </row>
    <row r="63" spans="1:31">
      <c r="A63" s="217" t="s">
        <v>93</v>
      </c>
      <c r="B63" s="217"/>
      <c r="C63" s="217"/>
      <c r="D63" s="217"/>
      <c r="E63" s="217"/>
      <c r="F63" s="217"/>
      <c r="G63" s="217"/>
      <c r="H63" s="217"/>
      <c r="I63" s="158"/>
      <c r="J63" s="158"/>
      <c r="K63" s="158"/>
      <c r="L63" s="126"/>
    </row>
    <row r="64" spans="1:31">
      <c r="A64" s="363" t="s">
        <v>94</v>
      </c>
      <c r="B64" s="363"/>
      <c r="C64" s="363"/>
      <c r="D64" s="363"/>
      <c r="E64" s="363"/>
      <c r="F64" s="363"/>
      <c r="G64" s="363"/>
      <c r="H64" s="363"/>
      <c r="I64" s="363"/>
      <c r="J64" s="363"/>
      <c r="K64" s="363"/>
      <c r="L64" s="363"/>
    </row>
    <row r="65" spans="1:12">
      <c r="A65" s="363" t="s">
        <v>95</v>
      </c>
      <c r="B65" s="363"/>
      <c r="C65" s="363"/>
      <c r="D65" s="363"/>
      <c r="E65" s="363"/>
      <c r="F65" s="363"/>
      <c r="G65" s="363"/>
      <c r="H65" s="363"/>
      <c r="I65" s="363"/>
      <c r="J65" s="363"/>
      <c r="K65" s="363"/>
      <c r="L65" s="363"/>
    </row>
    <row r="66" spans="1:12">
      <c r="A66" s="217"/>
      <c r="B66" s="159"/>
      <c r="C66" s="159"/>
      <c r="D66" s="159"/>
      <c r="E66" s="159"/>
      <c r="F66" s="159"/>
      <c r="G66" s="159"/>
      <c r="H66" s="159"/>
      <c r="I66" s="159"/>
      <c r="J66" s="159"/>
      <c r="K66" s="159"/>
    </row>
    <row r="67" spans="1:12">
      <c r="A67" s="213" t="s">
        <v>113</v>
      </c>
      <c r="B67" s="218">
        <f>I4+1</f>
        <v>2014</v>
      </c>
      <c r="C67" s="115" t="s">
        <v>58</v>
      </c>
    </row>
    <row r="68" spans="1:12">
      <c r="A68" s="213" t="s">
        <v>59</v>
      </c>
    </row>
    <row r="69" spans="1:12">
      <c r="A69" s="213" t="s">
        <v>60</v>
      </c>
      <c r="J69" s="124">
        <v>15000</v>
      </c>
      <c r="K69" s="115" t="s">
        <v>10</v>
      </c>
    </row>
    <row r="70" spans="1:12">
      <c r="A70" s="363" t="s">
        <v>91</v>
      </c>
      <c r="B70" s="363"/>
      <c r="C70" s="363"/>
      <c r="D70" s="363"/>
      <c r="E70" s="363"/>
      <c r="J70" s="124">
        <v>5000</v>
      </c>
      <c r="K70" s="115" t="s">
        <v>10</v>
      </c>
    </row>
    <row r="71" spans="1:12">
      <c r="A71" s="213" t="s">
        <v>61</v>
      </c>
      <c r="J71" s="124">
        <v>1500</v>
      </c>
      <c r="K71" s="115" t="s">
        <v>10</v>
      </c>
    </row>
    <row r="72" spans="1:12">
      <c r="A72" s="213" t="s">
        <v>89</v>
      </c>
      <c r="J72" s="124">
        <v>10000</v>
      </c>
      <c r="K72" s="115" t="s">
        <v>10</v>
      </c>
    </row>
    <row r="73" spans="1:12">
      <c r="A73" s="213" t="s">
        <v>290</v>
      </c>
      <c r="J73" s="124">
        <v>1200</v>
      </c>
      <c r="K73" s="115" t="s">
        <v>10</v>
      </c>
    </row>
    <row r="74" spans="1:12">
      <c r="A74" s="213" t="s">
        <v>291</v>
      </c>
      <c r="J74" s="124">
        <v>6000</v>
      </c>
      <c r="K74" s="115" t="s">
        <v>10</v>
      </c>
    </row>
    <row r="75" spans="1:12">
      <c r="A75" s="211" t="s">
        <v>292</v>
      </c>
      <c r="B75" s="65"/>
      <c r="C75" s="65"/>
      <c r="D75" s="65"/>
      <c r="E75" s="65"/>
      <c r="F75" s="65"/>
      <c r="G75" s="65"/>
      <c r="H75" s="65"/>
      <c r="I75" s="65"/>
      <c r="J75" s="57">
        <v>20000</v>
      </c>
      <c r="K75" t="s">
        <v>10</v>
      </c>
    </row>
    <row r="76" spans="1:12">
      <c r="A76" s="213" t="s">
        <v>62</v>
      </c>
      <c r="J76" s="124">
        <v>10000</v>
      </c>
      <c r="K76" s="115" t="s">
        <v>10</v>
      </c>
    </row>
    <row r="77" spans="1:12">
      <c r="A77" s="213" t="s">
        <v>63</v>
      </c>
      <c r="J77" s="124">
        <v>10000</v>
      </c>
      <c r="K77" s="115" t="s">
        <v>10</v>
      </c>
    </row>
    <row r="78" spans="1:12">
      <c r="A78" s="211" t="s">
        <v>293</v>
      </c>
      <c r="B78" s="65"/>
      <c r="C78" s="65"/>
      <c r="D78" s="65"/>
      <c r="E78" s="65"/>
      <c r="F78" s="65"/>
      <c r="G78" s="65"/>
      <c r="H78" s="65"/>
      <c r="I78" s="65"/>
      <c r="J78" s="57">
        <v>500</v>
      </c>
      <c r="K78" t="s">
        <v>10</v>
      </c>
    </row>
    <row r="79" spans="1:12">
      <c r="A79" s="160" t="s">
        <v>64</v>
      </c>
      <c r="J79" s="129">
        <f>SUM(J69:J78)</f>
        <v>79200</v>
      </c>
      <c r="K79" s="161" t="s">
        <v>65</v>
      </c>
    </row>
    <row r="80" spans="1:12">
      <c r="A80" s="213" t="s">
        <v>66</v>
      </c>
      <c r="H80" s="218">
        <f>I4</f>
        <v>2013</v>
      </c>
      <c r="I80" s="115" t="s">
        <v>74</v>
      </c>
      <c r="K80" s="129">
        <f>G47</f>
        <v>4059.5182052678429</v>
      </c>
    </row>
    <row r="81" spans="1:11">
      <c r="A81" s="213" t="s">
        <v>67</v>
      </c>
      <c r="C81" s="151">
        <f>J79+K80</f>
        <v>83259.518205267843</v>
      </c>
      <c r="D81" s="218" t="s">
        <v>68</v>
      </c>
      <c r="E81" s="162">
        <f>I4+1</f>
        <v>2014</v>
      </c>
      <c r="F81" s="115" t="s">
        <v>70</v>
      </c>
      <c r="H81" s="156">
        <f>C81/(E6*12)</f>
        <v>6.0883583571185689</v>
      </c>
      <c r="I81" s="115" t="s">
        <v>71</v>
      </c>
    </row>
    <row r="83" spans="1:11">
      <c r="B83" s="115" t="s">
        <v>72</v>
      </c>
    </row>
    <row r="84" spans="1:11">
      <c r="B84" s="115" t="s">
        <v>42</v>
      </c>
      <c r="I84" s="115" t="s">
        <v>73</v>
      </c>
    </row>
    <row r="85" spans="1:11">
      <c r="K85" s="116" t="s">
        <v>295</v>
      </c>
    </row>
    <row r="86" spans="1:11">
      <c r="A86" s="364"/>
      <c r="B86" s="364"/>
      <c r="C86" s="364"/>
      <c r="D86" s="364"/>
      <c r="E86" s="364"/>
      <c r="F86" s="364"/>
      <c r="G86" s="364"/>
      <c r="H86" s="364"/>
      <c r="I86" s="364"/>
      <c r="J86" s="364"/>
      <c r="K86" s="364"/>
    </row>
    <row r="100" spans="12:12">
      <c r="L100" s="163"/>
    </row>
  </sheetData>
  <mergeCells count="80">
    <mergeCell ref="B39:H39"/>
    <mergeCell ref="K39:L39"/>
    <mergeCell ref="B35:H35"/>
    <mergeCell ref="K35:L35"/>
    <mergeCell ref="B26:H26"/>
    <mergeCell ref="K26:L26"/>
    <mergeCell ref="B27:H27"/>
    <mergeCell ref="K27:L27"/>
    <mergeCell ref="B32:H32"/>
    <mergeCell ref="K32:L32"/>
    <mergeCell ref="B38:H38"/>
    <mergeCell ref="K38:L38"/>
    <mergeCell ref="B36:H36"/>
    <mergeCell ref="K36:L36"/>
    <mergeCell ref="B37:H37"/>
    <mergeCell ref="K37:L37"/>
    <mergeCell ref="A70:E70"/>
    <mergeCell ref="A86:K86"/>
    <mergeCell ref="B55:E55"/>
    <mergeCell ref="F55:H55"/>
    <mergeCell ref="I55:L55"/>
    <mergeCell ref="B56:E56"/>
    <mergeCell ref="F56:H56"/>
    <mergeCell ref="I56:L56"/>
    <mergeCell ref="B54:E54"/>
    <mergeCell ref="F54:H54"/>
    <mergeCell ref="I54:L54"/>
    <mergeCell ref="A64:L64"/>
    <mergeCell ref="A65:L65"/>
    <mergeCell ref="B52:E52"/>
    <mergeCell ref="F52:H52"/>
    <mergeCell ref="I52:L52"/>
    <mergeCell ref="B53:E53"/>
    <mergeCell ref="F53:H53"/>
    <mergeCell ref="I53:L53"/>
    <mergeCell ref="B50:E50"/>
    <mergeCell ref="F50:H50"/>
    <mergeCell ref="I50:L50"/>
    <mergeCell ref="B51:E51"/>
    <mergeCell ref="F51:H51"/>
    <mergeCell ref="I51:L51"/>
    <mergeCell ref="K44:L44"/>
    <mergeCell ref="B42:H42"/>
    <mergeCell ref="K42:L42"/>
    <mergeCell ref="K45:L45"/>
    <mergeCell ref="B49:E49"/>
    <mergeCell ref="F49:H49"/>
    <mergeCell ref="I49:L49"/>
    <mergeCell ref="B40:H40"/>
    <mergeCell ref="K40:L40"/>
    <mergeCell ref="B41:H41"/>
    <mergeCell ref="K41:L41"/>
    <mergeCell ref="B43:H43"/>
    <mergeCell ref="K43:L43"/>
    <mergeCell ref="B31:H31"/>
    <mergeCell ref="K31:L31"/>
    <mergeCell ref="B34:H34"/>
    <mergeCell ref="K34:L34"/>
    <mergeCell ref="K33:L33"/>
    <mergeCell ref="B21:H21"/>
    <mergeCell ref="K21:L21"/>
    <mergeCell ref="B28:H28"/>
    <mergeCell ref="K28:L28"/>
    <mergeCell ref="B30:H30"/>
    <mergeCell ref="K30:L30"/>
    <mergeCell ref="B22:H22"/>
    <mergeCell ref="K22:L22"/>
    <mergeCell ref="B24:H24"/>
    <mergeCell ref="K24:L24"/>
    <mergeCell ref="B25:H25"/>
    <mergeCell ref="K25:L25"/>
    <mergeCell ref="B23:H23"/>
    <mergeCell ref="K23:L23"/>
    <mergeCell ref="B29:H29"/>
    <mergeCell ref="K29:L29"/>
    <mergeCell ref="Q9:Q10"/>
    <mergeCell ref="A2:L2"/>
    <mergeCell ref="A3:L3"/>
    <mergeCell ref="A7:B7"/>
    <mergeCell ref="A20:B20"/>
  </mergeCells>
  <pageMargins left="0.17" right="0.17" top="0.27" bottom="0.22" header="0.17" footer="0.16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90"/>
  <sheetViews>
    <sheetView tabSelected="1" zoomScale="90" zoomScaleNormal="90" workbookViewId="0">
      <pane xSplit="12" topLeftCell="M1" activePane="topRight" state="frozen"/>
      <selection pane="topRight" activeCell="N19" sqref="N19"/>
    </sheetView>
  </sheetViews>
  <sheetFormatPr defaultRowHeight="15"/>
  <cols>
    <col min="1" max="1" width="4.28515625" customWidth="1"/>
    <col min="2" max="2" width="9.85546875" customWidth="1"/>
    <col min="3" max="3" width="10.7109375" customWidth="1"/>
    <col min="4" max="4" width="6.28515625" customWidth="1"/>
    <col min="5" max="5" width="8.5703125" customWidth="1"/>
    <col min="6" max="6" width="9.7109375" customWidth="1"/>
    <col min="7" max="7" width="13" customWidth="1"/>
    <col min="8" max="8" width="12.85546875" customWidth="1"/>
    <col min="9" max="9" width="9.42578125" customWidth="1"/>
    <col min="10" max="10" width="11" style="27" customWidth="1"/>
    <col min="11" max="11" width="11" customWidth="1"/>
    <col min="12" max="12" width="3.85546875" customWidth="1"/>
  </cols>
  <sheetData>
    <row r="1" spans="1:12" ht="32.25" customHeight="1">
      <c r="J1" s="408" t="s">
        <v>340</v>
      </c>
      <c r="K1" s="408"/>
      <c r="L1" s="116"/>
    </row>
    <row r="2" spans="1:12" ht="18.75">
      <c r="A2" s="300" t="s">
        <v>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2" ht="18.75">
      <c r="A3" s="300" t="s">
        <v>1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</row>
    <row r="4" spans="1:12" ht="18.75">
      <c r="A4" s="1"/>
      <c r="B4" s="3"/>
      <c r="C4" s="1"/>
      <c r="D4" s="5" t="s">
        <v>2</v>
      </c>
      <c r="E4" s="99">
        <v>107</v>
      </c>
      <c r="F4" s="25" t="s">
        <v>101</v>
      </c>
      <c r="G4" s="25"/>
      <c r="H4" s="99"/>
      <c r="I4" s="99">
        <v>2014</v>
      </c>
      <c r="J4" s="246" t="s">
        <v>24</v>
      </c>
    </row>
    <row r="6" spans="1:12" ht="15.75">
      <c r="A6" s="4" t="s">
        <v>191</v>
      </c>
      <c r="B6" s="103">
        <f>I4</f>
        <v>2014</v>
      </c>
      <c r="C6" t="s">
        <v>30</v>
      </c>
      <c r="D6" s="103" t="s">
        <v>194</v>
      </c>
      <c r="E6" s="245">
        <v>1139.8</v>
      </c>
      <c r="F6" t="s">
        <v>69</v>
      </c>
    </row>
    <row r="7" spans="1:12" ht="15.75">
      <c r="A7" s="399">
        <v>751541</v>
      </c>
      <c r="B7" s="399"/>
      <c r="C7" s="6" t="s">
        <v>3</v>
      </c>
      <c r="G7" s="9">
        <f>A7-J8</f>
        <v>560471.24</v>
      </c>
      <c r="H7" s="103" t="s">
        <v>99</v>
      </c>
      <c r="I7" s="8">
        <f>(G7/A7)*100</f>
        <v>74.576269292027973</v>
      </c>
      <c r="J7" s="27" t="s">
        <v>4</v>
      </c>
    </row>
    <row r="8" spans="1:12">
      <c r="A8" t="s">
        <v>98</v>
      </c>
      <c r="J8" s="7">
        <v>191069.76</v>
      </c>
      <c r="K8" t="s">
        <v>5</v>
      </c>
    </row>
    <row r="9" spans="1:12">
      <c r="A9" t="s">
        <v>97</v>
      </c>
    </row>
    <row r="10" spans="1:12">
      <c r="A10" t="s">
        <v>333</v>
      </c>
      <c r="B10" s="27">
        <v>13911.73</v>
      </c>
      <c r="C10" t="s">
        <v>10</v>
      </c>
      <c r="E10" s="40" t="s">
        <v>335</v>
      </c>
      <c r="F10" s="27">
        <v>30998.85</v>
      </c>
      <c r="G10" t="s">
        <v>10</v>
      </c>
      <c r="I10" s="40" t="s">
        <v>336</v>
      </c>
      <c r="J10" s="27">
        <v>19385.810000000001</v>
      </c>
      <c r="K10" t="s">
        <v>10</v>
      </c>
    </row>
    <row r="11" spans="1:12">
      <c r="A11" t="s">
        <v>334</v>
      </c>
      <c r="B11" s="27">
        <v>16120.64</v>
      </c>
      <c r="C11" t="s">
        <v>10</v>
      </c>
      <c r="E11" s="40" t="s">
        <v>176</v>
      </c>
      <c r="F11" s="27">
        <v>10749.96</v>
      </c>
      <c r="G11" t="s">
        <v>10</v>
      </c>
      <c r="I11" s="40" t="s">
        <v>80</v>
      </c>
      <c r="K11" t="s">
        <v>10</v>
      </c>
    </row>
    <row r="12" spans="1:12">
      <c r="B12" s="27"/>
      <c r="E12" s="102"/>
      <c r="F12" s="27"/>
      <c r="I12" s="102"/>
    </row>
    <row r="13" spans="1:12" ht="15.75">
      <c r="A13" t="s">
        <v>32</v>
      </c>
      <c r="J13" s="27">
        <f>G14+G15+G16+G17</f>
        <v>191069.76</v>
      </c>
      <c r="K13" s="29" t="s">
        <v>33</v>
      </c>
    </row>
    <row r="14" spans="1:12">
      <c r="A14" s="10" t="s">
        <v>6</v>
      </c>
      <c r="B14" t="s">
        <v>7</v>
      </c>
      <c r="G14" s="7">
        <f>(J8*43.5/100)</f>
        <v>83115.345600000001</v>
      </c>
      <c r="H14" t="s">
        <v>10</v>
      </c>
    </row>
    <row r="15" spans="1:12">
      <c r="A15" s="10" t="s">
        <v>6</v>
      </c>
      <c r="B15" t="s">
        <v>8</v>
      </c>
      <c r="G15" s="7">
        <f>(J8*36.6/100)</f>
        <v>69931.532160000002</v>
      </c>
      <c r="H15" t="s">
        <v>10</v>
      </c>
    </row>
    <row r="16" spans="1:12">
      <c r="A16" s="10" t="s">
        <v>6</v>
      </c>
      <c r="B16" t="s">
        <v>9</v>
      </c>
      <c r="G16" s="7">
        <f>(J8*12.5/100)</f>
        <v>23883.72</v>
      </c>
      <c r="H16" t="s">
        <v>10</v>
      </c>
      <c r="K16" s="6"/>
      <c r="L16" s="14"/>
    </row>
    <row r="17" spans="1:12">
      <c r="A17" s="10" t="s">
        <v>6</v>
      </c>
      <c r="B17" t="s">
        <v>14</v>
      </c>
      <c r="G17" s="7">
        <f>(J8*7.4/100)</f>
        <v>14139.162240000001</v>
      </c>
      <c r="H17" t="s">
        <v>10</v>
      </c>
    </row>
    <row r="18" spans="1:12">
      <c r="G18" s="28"/>
    </row>
    <row r="19" spans="1:12">
      <c r="A19" s="11" t="s">
        <v>11</v>
      </c>
      <c r="G19" s="7">
        <f>E6*5.45*12</f>
        <v>74542.92</v>
      </c>
      <c r="H19" t="s">
        <v>12</v>
      </c>
    </row>
    <row r="20" spans="1:12" ht="15.75" thickBot="1">
      <c r="A20" s="302">
        <f>G19*I7/100</f>
        <v>55591.328757340976</v>
      </c>
      <c r="B20" s="302"/>
      <c r="C20" t="s">
        <v>75</v>
      </c>
    </row>
    <row r="21" spans="1:12">
      <c r="A21" s="12" t="s">
        <v>2</v>
      </c>
      <c r="B21" s="303" t="s">
        <v>20</v>
      </c>
      <c r="C21" s="309"/>
      <c r="D21" s="309"/>
      <c r="E21" s="309"/>
      <c r="F21" s="309"/>
      <c r="G21" s="309"/>
      <c r="H21" s="304"/>
      <c r="I21" s="12" t="s">
        <v>18</v>
      </c>
      <c r="J21" s="247" t="s">
        <v>17</v>
      </c>
      <c r="K21" s="303" t="s">
        <v>15</v>
      </c>
      <c r="L21" s="304"/>
    </row>
    <row r="22" spans="1:12" ht="15.75" thickBot="1">
      <c r="A22" s="13" t="s">
        <v>13</v>
      </c>
      <c r="B22" s="286"/>
      <c r="C22" s="287"/>
      <c r="D22" s="287"/>
      <c r="E22" s="287"/>
      <c r="F22" s="287"/>
      <c r="G22" s="287"/>
      <c r="H22" s="288"/>
      <c r="I22" s="13" t="s">
        <v>19</v>
      </c>
      <c r="J22" s="248"/>
      <c r="K22" s="400" t="s">
        <v>16</v>
      </c>
      <c r="L22" s="401"/>
    </row>
    <row r="23" spans="1:12" ht="15.75" thickBot="1">
      <c r="A23" s="106"/>
      <c r="B23" s="402" t="s">
        <v>285</v>
      </c>
      <c r="C23" s="403"/>
      <c r="D23" s="403"/>
      <c r="E23" s="403"/>
      <c r="F23" s="403"/>
      <c r="G23" s="403"/>
      <c r="H23" s="404"/>
      <c r="I23" s="107"/>
      <c r="J23" s="249"/>
      <c r="K23" s="405">
        <v>4059.52</v>
      </c>
      <c r="L23" s="406"/>
    </row>
    <row r="24" spans="1:12">
      <c r="A24" s="21">
        <v>1</v>
      </c>
      <c r="B24" s="407" t="s">
        <v>256</v>
      </c>
      <c r="C24" s="313"/>
      <c r="D24" s="313"/>
      <c r="E24" s="313"/>
      <c r="F24" s="313"/>
      <c r="G24" s="313"/>
      <c r="H24" s="280"/>
      <c r="I24" s="21" t="s">
        <v>257</v>
      </c>
      <c r="J24" s="250"/>
      <c r="K24" s="373">
        <v>4500</v>
      </c>
      <c r="L24" s="374"/>
    </row>
    <row r="25" spans="1:12">
      <c r="A25" s="225">
        <v>2</v>
      </c>
      <c r="B25" s="263" t="s">
        <v>311</v>
      </c>
      <c r="C25" s="266"/>
      <c r="D25" s="266"/>
      <c r="E25" s="266"/>
      <c r="F25" s="266"/>
      <c r="G25" s="266"/>
      <c r="H25" s="266"/>
      <c r="I25" s="165" t="s">
        <v>271</v>
      </c>
      <c r="J25" s="251">
        <v>22</v>
      </c>
      <c r="K25" s="396">
        <f>103300*0.0413</f>
        <v>4266.29</v>
      </c>
      <c r="L25" s="397"/>
    </row>
    <row r="26" spans="1:12">
      <c r="A26" s="225">
        <v>3</v>
      </c>
      <c r="B26" s="263" t="s">
        <v>312</v>
      </c>
      <c r="C26" s="266"/>
      <c r="D26" s="266"/>
      <c r="E26" s="266"/>
      <c r="F26" s="266"/>
      <c r="G26" s="266"/>
      <c r="H26" s="266"/>
      <c r="I26" s="165" t="s">
        <v>271</v>
      </c>
      <c r="J26" s="251">
        <v>7</v>
      </c>
      <c r="K26" s="396">
        <f>22050*0.0311</f>
        <v>685.755</v>
      </c>
      <c r="L26" s="397"/>
    </row>
    <row r="27" spans="1:12">
      <c r="A27" s="225">
        <v>4</v>
      </c>
      <c r="B27" s="273" t="s">
        <v>239</v>
      </c>
      <c r="C27" s="274"/>
      <c r="D27" s="274"/>
      <c r="E27" s="274"/>
      <c r="F27" s="274"/>
      <c r="G27" s="274"/>
      <c r="H27" s="274"/>
      <c r="I27" s="140" t="s">
        <v>267</v>
      </c>
      <c r="J27" s="252">
        <v>252</v>
      </c>
      <c r="K27" s="373">
        <v>1000</v>
      </c>
      <c r="L27" s="374"/>
    </row>
    <row r="28" spans="1:12">
      <c r="A28" s="225">
        <v>5</v>
      </c>
      <c r="B28" s="273" t="s">
        <v>310</v>
      </c>
      <c r="C28" s="274"/>
      <c r="D28" s="274"/>
      <c r="E28" s="274"/>
      <c r="F28" s="274"/>
      <c r="G28" s="274"/>
      <c r="H28" s="275"/>
      <c r="I28" s="221" t="s">
        <v>107</v>
      </c>
      <c r="J28" s="253">
        <v>12</v>
      </c>
      <c r="K28" s="331">
        <f>2000*8*0.1177</f>
        <v>1883.2</v>
      </c>
      <c r="L28" s="332"/>
    </row>
    <row r="29" spans="1:12">
      <c r="A29" s="225">
        <v>6</v>
      </c>
      <c r="B29" s="278" t="s">
        <v>313</v>
      </c>
      <c r="C29" s="279"/>
      <c r="D29" s="279"/>
      <c r="E29" s="279"/>
      <c r="F29" s="279"/>
      <c r="G29" s="279"/>
      <c r="H29" s="280"/>
      <c r="I29" s="165" t="s">
        <v>103</v>
      </c>
      <c r="J29" s="251">
        <v>26</v>
      </c>
      <c r="K29" s="394">
        <f>346.67*0.0311</f>
        <v>10.781437</v>
      </c>
      <c r="L29" s="395"/>
    </row>
    <row r="30" spans="1:12">
      <c r="A30" s="225">
        <v>7</v>
      </c>
      <c r="B30" s="278" t="s">
        <v>314</v>
      </c>
      <c r="C30" s="279"/>
      <c r="D30" s="279"/>
      <c r="E30" s="279"/>
      <c r="F30" s="279"/>
      <c r="G30" s="279"/>
      <c r="H30" s="280"/>
      <c r="I30" s="165" t="s">
        <v>103</v>
      </c>
      <c r="J30" s="251">
        <v>21</v>
      </c>
      <c r="K30" s="373">
        <f>1041.6*0.0311</f>
        <v>32.393759999999993</v>
      </c>
      <c r="L30" s="395"/>
    </row>
    <row r="31" spans="1:12">
      <c r="A31" s="225">
        <v>8</v>
      </c>
      <c r="B31" s="273" t="s">
        <v>317</v>
      </c>
      <c r="C31" s="274"/>
      <c r="D31" s="274"/>
      <c r="E31" s="274"/>
      <c r="F31" s="274"/>
      <c r="G31" s="274"/>
      <c r="H31" s="275"/>
      <c r="I31" s="86" t="s">
        <v>315</v>
      </c>
      <c r="J31" s="254">
        <v>3</v>
      </c>
      <c r="K31" s="271">
        <f>(3537*3)*0.1061</f>
        <v>1125.8271</v>
      </c>
      <c r="L31" s="272"/>
    </row>
    <row r="32" spans="1:12">
      <c r="A32" s="225">
        <v>9</v>
      </c>
      <c r="B32" s="278" t="s">
        <v>318</v>
      </c>
      <c r="C32" s="279"/>
      <c r="D32" s="279"/>
      <c r="E32" s="279"/>
      <c r="F32" s="279"/>
      <c r="G32" s="279"/>
      <c r="H32" s="280"/>
      <c r="I32" s="21" t="s">
        <v>103</v>
      </c>
      <c r="J32" s="37">
        <v>1</v>
      </c>
      <c r="K32" s="373">
        <f>8.53+411.25</f>
        <v>419.78</v>
      </c>
      <c r="L32" s="374"/>
    </row>
    <row r="33" spans="1:12">
      <c r="A33" s="225">
        <v>10</v>
      </c>
      <c r="B33" s="370" t="s">
        <v>320</v>
      </c>
      <c r="C33" s="371"/>
      <c r="D33" s="371"/>
      <c r="E33" s="371"/>
      <c r="F33" s="371"/>
      <c r="G33" s="371"/>
      <c r="H33" s="372"/>
      <c r="I33" s="21" t="s">
        <v>319</v>
      </c>
      <c r="J33" s="251">
        <v>1</v>
      </c>
      <c r="K33" s="271">
        <v>162.4</v>
      </c>
      <c r="L33" s="272"/>
    </row>
    <row r="34" spans="1:12" ht="15" customHeight="1">
      <c r="A34" s="225">
        <v>11</v>
      </c>
      <c r="B34" s="370" t="s">
        <v>321</v>
      </c>
      <c r="C34" s="371"/>
      <c r="D34" s="371"/>
      <c r="E34" s="371"/>
      <c r="F34" s="371"/>
      <c r="G34" s="371"/>
      <c r="H34" s="372"/>
      <c r="I34" s="21" t="s">
        <v>103</v>
      </c>
      <c r="J34" s="251">
        <v>6</v>
      </c>
      <c r="K34" s="271">
        <v>122.58</v>
      </c>
      <c r="L34" s="272"/>
    </row>
    <row r="35" spans="1:12" ht="15" customHeight="1">
      <c r="A35" s="225">
        <v>12</v>
      </c>
      <c r="B35" s="370" t="s">
        <v>322</v>
      </c>
      <c r="C35" s="371"/>
      <c r="D35" s="371"/>
      <c r="E35" s="371"/>
      <c r="F35" s="371"/>
      <c r="G35" s="371"/>
      <c r="H35" s="372"/>
      <c r="I35" s="21" t="s">
        <v>337</v>
      </c>
      <c r="J35" s="258" t="s">
        <v>337</v>
      </c>
      <c r="K35" s="271">
        <f>2000*0.0227</f>
        <v>45.400000000000006</v>
      </c>
      <c r="L35" s="272"/>
    </row>
    <row r="36" spans="1:12">
      <c r="A36" s="225">
        <v>13</v>
      </c>
      <c r="B36" s="370" t="s">
        <v>323</v>
      </c>
      <c r="C36" s="371"/>
      <c r="D36" s="371"/>
      <c r="E36" s="371"/>
      <c r="F36" s="371"/>
      <c r="G36" s="371"/>
      <c r="H36" s="372"/>
      <c r="I36" s="21" t="s">
        <v>324</v>
      </c>
      <c r="J36" s="251">
        <v>252</v>
      </c>
      <c r="K36" s="271">
        <v>1000</v>
      </c>
      <c r="L36" s="272"/>
    </row>
    <row r="37" spans="1:12">
      <c r="A37" s="225">
        <v>14</v>
      </c>
      <c r="B37" s="263" t="s">
        <v>325</v>
      </c>
      <c r="C37" s="266"/>
      <c r="D37" s="266"/>
      <c r="E37" s="266"/>
      <c r="F37" s="266"/>
      <c r="G37" s="266"/>
      <c r="H37" s="265"/>
      <c r="I37" s="21" t="s">
        <v>227</v>
      </c>
      <c r="J37" s="251">
        <v>47</v>
      </c>
      <c r="K37" s="271">
        <f>(8628+4000)*0.0227</f>
        <v>286.65559999999999</v>
      </c>
      <c r="L37" s="272"/>
    </row>
    <row r="38" spans="1:12">
      <c r="A38" s="225">
        <v>15</v>
      </c>
      <c r="B38" s="370" t="s">
        <v>326</v>
      </c>
      <c r="C38" s="371"/>
      <c r="D38" s="371"/>
      <c r="E38" s="371"/>
      <c r="F38" s="371"/>
      <c r="G38" s="371"/>
      <c r="H38" s="372"/>
      <c r="I38" s="21" t="s">
        <v>103</v>
      </c>
      <c r="J38" s="251">
        <v>1</v>
      </c>
      <c r="K38" s="271">
        <f>17760.7*0.0227</f>
        <v>403.16789000000006</v>
      </c>
      <c r="L38" s="272"/>
    </row>
    <row r="39" spans="1:12">
      <c r="A39" s="225">
        <v>16</v>
      </c>
      <c r="B39" s="263" t="s">
        <v>327</v>
      </c>
      <c r="C39" s="266"/>
      <c r="D39" s="266"/>
      <c r="E39" s="266"/>
      <c r="F39" s="266"/>
      <c r="G39" s="266"/>
      <c r="H39" s="265"/>
      <c r="I39" s="67" t="s">
        <v>103</v>
      </c>
      <c r="J39" s="255">
        <v>2</v>
      </c>
      <c r="K39" s="392">
        <f>380*2*0.2544</f>
        <v>193.34400000000002</v>
      </c>
      <c r="L39" s="393"/>
    </row>
    <row r="40" spans="1:12">
      <c r="A40" s="225">
        <v>17</v>
      </c>
      <c r="B40" s="273" t="s">
        <v>328</v>
      </c>
      <c r="C40" s="274"/>
      <c r="D40" s="274"/>
      <c r="E40" s="274"/>
      <c r="F40" s="274"/>
      <c r="G40" s="274"/>
      <c r="H40" s="275"/>
      <c r="I40" s="67" t="s">
        <v>103</v>
      </c>
      <c r="J40" s="255">
        <v>2</v>
      </c>
      <c r="K40" s="392">
        <f>250*2*0.2544</f>
        <v>127.2</v>
      </c>
      <c r="L40" s="393"/>
    </row>
    <row r="41" spans="1:12">
      <c r="A41" s="225">
        <v>18</v>
      </c>
      <c r="B41" s="273" t="s">
        <v>329</v>
      </c>
      <c r="C41" s="274"/>
      <c r="D41" s="274"/>
      <c r="E41" s="274"/>
      <c r="F41" s="274"/>
      <c r="G41" s="274"/>
      <c r="H41" s="275"/>
      <c r="I41" s="21" t="s">
        <v>103</v>
      </c>
      <c r="J41" s="256">
        <v>1</v>
      </c>
      <c r="K41" s="373">
        <f>1267*0.2544</f>
        <v>322.32480000000004</v>
      </c>
      <c r="L41" s="374"/>
    </row>
    <row r="42" spans="1:12">
      <c r="A42" s="225">
        <v>19</v>
      </c>
      <c r="B42" s="278" t="s">
        <v>330</v>
      </c>
      <c r="C42" s="279"/>
      <c r="D42" s="279"/>
      <c r="E42" s="279"/>
      <c r="F42" s="279"/>
      <c r="G42" s="279"/>
      <c r="H42" s="280"/>
      <c r="I42" s="21" t="s">
        <v>103</v>
      </c>
      <c r="J42" s="257">
        <v>1</v>
      </c>
      <c r="K42" s="271">
        <f>19433*0.0227</f>
        <v>441.12910000000005</v>
      </c>
      <c r="L42" s="272"/>
    </row>
    <row r="43" spans="1:12">
      <c r="A43" s="225">
        <v>20</v>
      </c>
      <c r="B43" s="273" t="s">
        <v>331</v>
      </c>
      <c r="C43" s="274"/>
      <c r="D43" s="274"/>
      <c r="E43" s="274"/>
      <c r="F43" s="274"/>
      <c r="G43" s="274"/>
      <c r="H43" s="275"/>
      <c r="I43" s="231" t="s">
        <v>107</v>
      </c>
      <c r="J43" s="253">
        <v>12</v>
      </c>
      <c r="K43" s="373">
        <f>1800*12*0.2544</f>
        <v>5495.04</v>
      </c>
      <c r="L43" s="374"/>
    </row>
    <row r="44" spans="1:12">
      <c r="A44" s="21"/>
      <c r="B44" s="278" t="s">
        <v>332</v>
      </c>
      <c r="C44" s="279"/>
      <c r="D44" s="279"/>
      <c r="E44" s="279"/>
      <c r="F44" s="279"/>
      <c r="G44" s="279"/>
      <c r="H44" s="279"/>
      <c r="I44" s="21"/>
      <c r="J44" s="258"/>
      <c r="K44" s="390">
        <f>SUM(K24:L43)</f>
        <v>22523.268687</v>
      </c>
      <c r="L44" s="391"/>
    </row>
    <row r="45" spans="1:12">
      <c r="A45" s="21"/>
      <c r="B45" s="278" t="s">
        <v>339</v>
      </c>
      <c r="C45" s="279"/>
      <c r="D45" s="279"/>
      <c r="E45" s="279"/>
      <c r="F45" s="279"/>
      <c r="G45" s="279"/>
      <c r="H45" s="279"/>
      <c r="I45" s="21"/>
      <c r="J45" s="258"/>
      <c r="K45" s="373">
        <f>K44*0.14</f>
        <v>3153.2576161800002</v>
      </c>
      <c r="L45" s="374"/>
    </row>
    <row r="46" spans="1:12" ht="15.75" thickBot="1">
      <c r="A46" s="21"/>
      <c r="B46" t="s">
        <v>286</v>
      </c>
      <c r="I46" s="105"/>
      <c r="K46" s="375">
        <f>SUM(K44:L45)</f>
        <v>25676.526303179999</v>
      </c>
      <c r="L46" s="376"/>
    </row>
    <row r="47" spans="1:12" ht="16.5" thickBot="1">
      <c r="A47" s="20"/>
      <c r="B47" s="22" t="s">
        <v>287</v>
      </c>
      <c r="C47" s="23"/>
      <c r="D47" s="23"/>
      <c r="E47" s="23"/>
      <c r="F47" s="23"/>
      <c r="G47" s="23"/>
      <c r="H47" s="24"/>
      <c r="I47" s="20"/>
      <c r="J47" s="259"/>
      <c r="K47" s="289">
        <f>K46+K23</f>
        <v>29736.046303179999</v>
      </c>
      <c r="L47" s="290"/>
    </row>
    <row r="48" spans="1:12">
      <c r="A48" t="s">
        <v>23</v>
      </c>
    </row>
    <row r="49" spans="1:12">
      <c r="A49" t="s">
        <v>25</v>
      </c>
      <c r="D49" s="103">
        <f>I4</f>
        <v>2014</v>
      </c>
      <c r="E49" t="s">
        <v>26</v>
      </c>
      <c r="G49" s="26">
        <f>K47-G19</f>
        <v>-44806.873696819996</v>
      </c>
      <c r="H49" t="s">
        <v>27</v>
      </c>
    </row>
    <row r="50" spans="1:12" ht="15.75" thickBot="1">
      <c r="A50" t="s">
        <v>28</v>
      </c>
      <c r="B50" s="103">
        <f>I4</f>
        <v>2014</v>
      </c>
      <c r="C50" t="s">
        <v>31</v>
      </c>
    </row>
    <row r="51" spans="1:12">
      <c r="A51" s="100" t="s">
        <v>2</v>
      </c>
      <c r="B51" s="291" t="s">
        <v>41</v>
      </c>
      <c r="C51" s="292"/>
      <c r="D51" s="292"/>
      <c r="E51" s="292"/>
      <c r="F51" s="291" t="s">
        <v>42</v>
      </c>
      <c r="G51" s="292"/>
      <c r="H51" s="293"/>
      <c r="I51" s="377" t="s">
        <v>43</v>
      </c>
      <c r="J51" s="378"/>
      <c r="K51" s="378"/>
      <c r="L51" s="379"/>
    </row>
    <row r="52" spans="1:12" ht="15.75" thickBot="1">
      <c r="A52" s="101"/>
      <c r="B52" s="297"/>
      <c r="C52" s="298"/>
      <c r="D52" s="298"/>
      <c r="E52" s="298"/>
      <c r="F52" s="297"/>
      <c r="G52" s="298"/>
      <c r="H52" s="299"/>
      <c r="I52" s="383" t="s">
        <v>244</v>
      </c>
      <c r="J52" s="384"/>
      <c r="K52" s="384"/>
      <c r="L52" s="385"/>
    </row>
    <row r="53" spans="1:12">
      <c r="A53" s="108" t="s">
        <v>34</v>
      </c>
      <c r="B53" s="295" t="s">
        <v>44</v>
      </c>
      <c r="C53" s="295"/>
      <c r="D53" s="295"/>
      <c r="E53" s="296"/>
      <c r="F53" s="281" t="s">
        <v>245</v>
      </c>
      <c r="G53" s="282"/>
      <c r="H53" s="283"/>
      <c r="I53" s="380" t="s">
        <v>246</v>
      </c>
      <c r="J53" s="381"/>
      <c r="K53" s="381"/>
      <c r="L53" s="382"/>
    </row>
    <row r="54" spans="1:12">
      <c r="A54" s="42" t="s">
        <v>35</v>
      </c>
      <c r="B54" s="279" t="s">
        <v>45</v>
      </c>
      <c r="C54" s="279"/>
      <c r="D54" s="279"/>
      <c r="E54" s="280"/>
      <c r="F54" s="286" t="s">
        <v>247</v>
      </c>
      <c r="G54" s="287"/>
      <c r="H54" s="288"/>
      <c r="I54" s="319" t="s">
        <v>51</v>
      </c>
      <c r="J54" s="320"/>
      <c r="K54" s="320"/>
      <c r="L54" s="321"/>
    </row>
    <row r="55" spans="1:12">
      <c r="A55" s="42" t="s">
        <v>36</v>
      </c>
      <c r="B55" s="279" t="s">
        <v>47</v>
      </c>
      <c r="C55" s="279"/>
      <c r="D55" s="279"/>
      <c r="E55" s="280"/>
      <c r="F55" s="286" t="s">
        <v>248</v>
      </c>
      <c r="G55" s="287"/>
      <c r="H55" s="288"/>
      <c r="I55" s="319" t="s">
        <v>249</v>
      </c>
      <c r="J55" s="320"/>
      <c r="K55" s="320"/>
      <c r="L55" s="321"/>
    </row>
    <row r="56" spans="1:12">
      <c r="A56" s="42" t="s">
        <v>37</v>
      </c>
      <c r="B56" s="279" t="s">
        <v>48</v>
      </c>
      <c r="C56" s="279"/>
      <c r="D56" s="279"/>
      <c r="E56" s="280"/>
      <c r="F56" s="286" t="s">
        <v>250</v>
      </c>
      <c r="G56" s="287"/>
      <c r="H56" s="288"/>
      <c r="I56" s="319" t="s">
        <v>251</v>
      </c>
      <c r="J56" s="320"/>
      <c r="K56" s="320"/>
      <c r="L56" s="321"/>
    </row>
    <row r="57" spans="1:12">
      <c r="A57" s="42" t="s">
        <v>38</v>
      </c>
      <c r="B57" s="279" t="s">
        <v>49</v>
      </c>
      <c r="C57" s="279"/>
      <c r="D57" s="279"/>
      <c r="E57" s="280"/>
      <c r="F57" s="286" t="s">
        <v>252</v>
      </c>
      <c r="G57" s="287"/>
      <c r="H57" s="288"/>
      <c r="I57" s="319" t="s">
        <v>253</v>
      </c>
      <c r="J57" s="320"/>
      <c r="K57" s="320"/>
      <c r="L57" s="321"/>
    </row>
    <row r="58" spans="1:12" ht="15.75" thickBot="1">
      <c r="A58" s="109" t="s">
        <v>39</v>
      </c>
      <c r="B58" s="317" t="s">
        <v>50</v>
      </c>
      <c r="C58" s="317"/>
      <c r="D58" s="317"/>
      <c r="E58" s="318"/>
      <c r="F58" s="310" t="s">
        <v>254</v>
      </c>
      <c r="G58" s="311"/>
      <c r="H58" s="312"/>
      <c r="I58" s="386" t="s">
        <v>255</v>
      </c>
      <c r="J58" s="387"/>
      <c r="K58" s="387"/>
      <c r="L58" s="388"/>
    </row>
    <row r="60" spans="1:12">
      <c r="A60" s="34" t="s">
        <v>55</v>
      </c>
      <c r="B60" s="103">
        <f>I4+1</f>
        <v>2015</v>
      </c>
      <c r="C60" t="s">
        <v>56</v>
      </c>
    </row>
    <row r="61" spans="1:12">
      <c r="A61" s="235" t="s">
        <v>338</v>
      </c>
    </row>
    <row r="62" spans="1:12">
      <c r="A62" s="98" t="s">
        <v>53</v>
      </c>
      <c r="F62" s="8">
        <f>H81</f>
        <v>2.5145585704494948</v>
      </c>
      <c r="G62" t="s">
        <v>54</v>
      </c>
    </row>
    <row r="63" spans="1:12">
      <c r="A63" s="104" t="s">
        <v>93</v>
      </c>
      <c r="B63" s="104"/>
      <c r="C63" s="104"/>
      <c r="D63" s="104"/>
      <c r="E63" s="104"/>
      <c r="F63" s="104"/>
      <c r="G63" s="104"/>
      <c r="H63" s="104"/>
      <c r="I63" s="104"/>
      <c r="J63" s="260"/>
      <c r="K63" s="104"/>
      <c r="L63" s="102"/>
    </row>
    <row r="64" spans="1:12">
      <c r="A64" s="389" t="s">
        <v>94</v>
      </c>
      <c r="B64" s="389"/>
      <c r="C64" s="389"/>
      <c r="D64" s="389"/>
      <c r="E64" s="389"/>
      <c r="F64" s="389"/>
      <c r="G64" s="389"/>
      <c r="H64" s="389"/>
      <c r="I64" s="389"/>
      <c r="J64" s="389"/>
      <c r="K64" s="389"/>
      <c r="L64" s="389"/>
    </row>
    <row r="65" spans="1:12">
      <c r="A65" s="389" t="s">
        <v>95</v>
      </c>
      <c r="B65" s="389"/>
      <c r="C65" s="389"/>
      <c r="D65" s="389"/>
      <c r="E65" s="389"/>
      <c r="F65" s="389"/>
      <c r="G65" s="389"/>
      <c r="H65" s="389"/>
      <c r="I65" s="389"/>
      <c r="J65" s="389"/>
      <c r="K65" s="389"/>
      <c r="L65" s="389"/>
    </row>
    <row r="66" spans="1:12">
      <c r="A66" s="104"/>
      <c r="B66" s="45"/>
      <c r="C66" s="45"/>
      <c r="D66" s="45"/>
      <c r="E66" s="45"/>
      <c r="F66" s="45"/>
      <c r="G66" s="45"/>
      <c r="H66" s="45"/>
      <c r="I66" s="45"/>
      <c r="K66" s="45"/>
    </row>
    <row r="67" spans="1:12">
      <c r="A67" s="98" t="s">
        <v>57</v>
      </c>
      <c r="B67" s="103">
        <f>I4+1</f>
        <v>2015</v>
      </c>
      <c r="C67" t="s">
        <v>58</v>
      </c>
    </row>
    <row r="68" spans="1:12">
      <c r="A68" s="98" t="s">
        <v>59</v>
      </c>
    </row>
    <row r="69" spans="1:12">
      <c r="A69" s="223" t="s">
        <v>60</v>
      </c>
      <c r="B69" s="115"/>
      <c r="C69" s="115"/>
      <c r="D69" s="115"/>
      <c r="E69" s="115"/>
      <c r="F69" s="115"/>
      <c r="G69" s="115"/>
      <c r="H69" s="115"/>
      <c r="I69" s="115"/>
      <c r="J69" s="124">
        <v>15000</v>
      </c>
      <c r="K69" s="115" t="s">
        <v>10</v>
      </c>
      <c r="L69" s="115"/>
    </row>
    <row r="70" spans="1:12">
      <c r="A70" s="363" t="s">
        <v>91</v>
      </c>
      <c r="B70" s="363"/>
      <c r="C70" s="363"/>
      <c r="D70" s="363"/>
      <c r="E70" s="363"/>
      <c r="F70" s="115"/>
      <c r="G70" s="115"/>
      <c r="H70" s="115"/>
      <c r="I70" s="115"/>
      <c r="J70" s="124">
        <v>5000</v>
      </c>
      <c r="K70" s="115" t="s">
        <v>10</v>
      </c>
      <c r="L70" s="115"/>
    </row>
    <row r="71" spans="1:12">
      <c r="A71" s="223" t="s">
        <v>61</v>
      </c>
      <c r="B71" s="115"/>
      <c r="C71" s="115"/>
      <c r="D71" s="115"/>
      <c r="E71" s="115"/>
      <c r="F71" s="115"/>
      <c r="G71" s="115"/>
      <c r="H71" s="115"/>
      <c r="I71" s="115"/>
      <c r="J71" s="124">
        <v>1500</v>
      </c>
      <c r="K71" s="115" t="s">
        <v>10</v>
      </c>
      <c r="L71" s="115"/>
    </row>
    <row r="72" spans="1:12">
      <c r="A72" s="223" t="s">
        <v>89</v>
      </c>
      <c r="B72" s="115"/>
      <c r="C72" s="115"/>
      <c r="D72" s="115"/>
      <c r="E72" s="115"/>
      <c r="F72" s="115"/>
      <c r="G72" s="115"/>
      <c r="H72" s="115"/>
      <c r="I72" s="115"/>
      <c r="J72" s="124">
        <v>10000</v>
      </c>
      <c r="K72" s="115" t="s">
        <v>10</v>
      </c>
      <c r="L72" s="115"/>
    </row>
    <row r="73" spans="1:12">
      <c r="A73" s="223" t="s">
        <v>290</v>
      </c>
      <c r="B73" s="115"/>
      <c r="C73" s="115"/>
      <c r="D73" s="115"/>
      <c r="E73" s="115"/>
      <c r="F73" s="115"/>
      <c r="G73" s="115"/>
      <c r="H73" s="115"/>
      <c r="I73" s="115"/>
      <c r="J73" s="124">
        <v>1200</v>
      </c>
      <c r="K73" s="115" t="s">
        <v>10</v>
      </c>
      <c r="L73" s="115"/>
    </row>
    <row r="74" spans="1:12">
      <c r="A74" s="223" t="s">
        <v>291</v>
      </c>
      <c r="B74" s="115"/>
      <c r="C74" s="115"/>
      <c r="D74" s="115"/>
      <c r="E74" s="115"/>
      <c r="F74" s="115"/>
      <c r="G74" s="115"/>
      <c r="H74" s="115"/>
      <c r="I74" s="115"/>
      <c r="J74" s="124">
        <v>6000</v>
      </c>
      <c r="K74" s="115" t="s">
        <v>10</v>
      </c>
      <c r="L74" s="115"/>
    </row>
    <row r="75" spans="1:12">
      <c r="A75" s="222" t="s">
        <v>292</v>
      </c>
      <c r="B75" s="65"/>
      <c r="C75" s="65"/>
      <c r="D75" s="65"/>
      <c r="E75" s="65"/>
      <c r="F75" s="65"/>
      <c r="G75" s="65"/>
      <c r="H75" s="65"/>
      <c r="I75" s="65"/>
      <c r="J75" s="57">
        <v>20000</v>
      </c>
      <c r="K75" t="s">
        <v>10</v>
      </c>
      <c r="L75" s="115"/>
    </row>
    <row r="76" spans="1:12">
      <c r="A76" s="223" t="s">
        <v>62</v>
      </c>
      <c r="B76" s="115"/>
      <c r="C76" s="115"/>
      <c r="D76" s="115"/>
      <c r="E76" s="115"/>
      <c r="F76" s="115"/>
      <c r="G76" s="115"/>
      <c r="H76" s="115"/>
      <c r="I76" s="115"/>
      <c r="J76" s="124">
        <v>10000</v>
      </c>
      <c r="K76" s="115" t="s">
        <v>10</v>
      </c>
      <c r="L76" s="115"/>
    </row>
    <row r="77" spans="1:12">
      <c r="A77" s="223" t="s">
        <v>63</v>
      </c>
      <c r="B77" s="115"/>
      <c r="C77" s="115"/>
      <c r="D77" s="115"/>
      <c r="E77" s="115"/>
      <c r="F77" s="115"/>
      <c r="G77" s="115"/>
      <c r="H77" s="115"/>
      <c r="I77" s="115"/>
      <c r="J77" s="124">
        <v>10000</v>
      </c>
      <c r="K77" s="115" t="s">
        <v>10</v>
      </c>
      <c r="L77" s="115"/>
    </row>
    <row r="78" spans="1:12">
      <c r="A78" s="222" t="s">
        <v>293</v>
      </c>
      <c r="B78" s="65"/>
      <c r="C78" s="65"/>
      <c r="D78" s="65"/>
      <c r="E78" s="65"/>
      <c r="F78" s="65"/>
      <c r="G78" s="65"/>
      <c r="H78" s="65"/>
      <c r="I78" s="65"/>
      <c r="J78" s="57">
        <v>500</v>
      </c>
      <c r="K78" t="s">
        <v>10</v>
      </c>
      <c r="L78" s="115"/>
    </row>
    <row r="79" spans="1:12">
      <c r="A79" s="160" t="s">
        <v>64</v>
      </c>
      <c r="B79" s="115"/>
      <c r="C79" s="115"/>
      <c r="D79" s="115"/>
      <c r="E79" s="115"/>
      <c r="F79" s="115"/>
      <c r="G79" s="115"/>
      <c r="H79" s="115"/>
      <c r="I79" s="115"/>
      <c r="J79" s="129">
        <f>SUM(J69:J78)</f>
        <v>79200</v>
      </c>
      <c r="K79" s="161" t="s">
        <v>65</v>
      </c>
      <c r="L79" s="115"/>
    </row>
    <row r="80" spans="1:12">
      <c r="A80" s="223" t="s">
        <v>66</v>
      </c>
      <c r="B80" s="115"/>
      <c r="C80" s="115"/>
      <c r="D80" s="115"/>
      <c r="E80" s="115"/>
      <c r="F80" s="115"/>
      <c r="G80" s="115"/>
      <c r="H80" s="224">
        <f>I4</f>
        <v>2014</v>
      </c>
      <c r="I80" s="115" t="s">
        <v>74</v>
      </c>
      <c r="J80" s="124"/>
      <c r="K80" s="129">
        <f>G49</f>
        <v>-44806.873696819996</v>
      </c>
      <c r="L80" s="115"/>
    </row>
    <row r="81" spans="1:12">
      <c r="A81" s="223" t="s">
        <v>67</v>
      </c>
      <c r="B81" s="115"/>
      <c r="C81" s="151">
        <f>J79+K80</f>
        <v>34393.126303180004</v>
      </c>
      <c r="D81" s="224" t="s">
        <v>68</v>
      </c>
      <c r="E81" s="162">
        <f>I4+1</f>
        <v>2015</v>
      </c>
      <c r="F81" s="115" t="s">
        <v>70</v>
      </c>
      <c r="G81" s="115"/>
      <c r="H81" s="156">
        <f>C81/(E6*12)</f>
        <v>2.5145585704494948</v>
      </c>
      <c r="I81" s="115" t="s">
        <v>71</v>
      </c>
      <c r="J81" s="124"/>
      <c r="K81" s="115"/>
      <c r="L81" s="115"/>
    </row>
    <row r="82" spans="1:12">
      <c r="A82" s="115"/>
      <c r="B82" s="115"/>
      <c r="C82" s="115"/>
      <c r="D82" s="115"/>
      <c r="E82" s="115"/>
      <c r="F82" s="115"/>
      <c r="G82" s="115"/>
      <c r="H82" s="115"/>
      <c r="I82" s="115"/>
      <c r="J82" s="124"/>
      <c r="K82" s="115"/>
      <c r="L82" s="115"/>
    </row>
    <row r="83" spans="1:12">
      <c r="A83" s="115"/>
      <c r="B83" s="115" t="s">
        <v>72</v>
      </c>
      <c r="C83" s="115"/>
      <c r="D83" s="115"/>
      <c r="E83" s="115"/>
      <c r="F83" s="115"/>
      <c r="G83" s="115"/>
      <c r="H83" s="115"/>
      <c r="I83" s="115"/>
      <c r="J83" s="124"/>
      <c r="K83" s="115"/>
      <c r="L83" s="115"/>
    </row>
    <row r="84" spans="1:12">
      <c r="A84" s="115"/>
      <c r="B84" s="115" t="s">
        <v>42</v>
      </c>
      <c r="C84" s="115"/>
      <c r="D84" s="115"/>
      <c r="E84" s="115"/>
      <c r="F84" s="115"/>
      <c r="G84" s="115"/>
      <c r="H84" s="115"/>
      <c r="I84" s="115" t="s">
        <v>73</v>
      </c>
      <c r="J84" s="124"/>
      <c r="K84" s="115"/>
      <c r="L84" s="115"/>
    </row>
    <row r="85" spans="1:12">
      <c r="A85" s="115"/>
      <c r="B85" s="115"/>
      <c r="C85" s="115"/>
      <c r="D85" s="115"/>
      <c r="E85" s="115"/>
      <c r="F85" s="115"/>
      <c r="G85" s="115"/>
      <c r="H85" s="115"/>
      <c r="I85" s="115"/>
      <c r="J85" s="124"/>
      <c r="K85" s="116" t="s">
        <v>295</v>
      </c>
      <c r="L85" s="115"/>
    </row>
    <row r="86" spans="1:12">
      <c r="A86" s="364"/>
      <c r="B86" s="364"/>
      <c r="C86" s="364"/>
      <c r="D86" s="364"/>
      <c r="E86" s="364"/>
      <c r="F86" s="364"/>
      <c r="G86" s="364"/>
      <c r="H86" s="364"/>
      <c r="I86" s="364"/>
      <c r="J86" s="364"/>
      <c r="K86" s="364"/>
      <c r="L86" s="115"/>
    </row>
    <row r="90" spans="1:12">
      <c r="L90" s="43" t="s">
        <v>90</v>
      </c>
    </row>
  </sheetData>
  <mergeCells count="85">
    <mergeCell ref="J1:K1"/>
    <mergeCell ref="B34:H34"/>
    <mergeCell ref="K34:L34"/>
    <mergeCell ref="B35:H35"/>
    <mergeCell ref="K35:L35"/>
    <mergeCell ref="B38:H38"/>
    <mergeCell ref="K38:L38"/>
    <mergeCell ref="K37:L37"/>
    <mergeCell ref="B36:H36"/>
    <mergeCell ref="K36:L36"/>
    <mergeCell ref="A86:K86"/>
    <mergeCell ref="A2:L2"/>
    <mergeCell ref="A3:L3"/>
    <mergeCell ref="A7:B7"/>
    <mergeCell ref="A20:B20"/>
    <mergeCell ref="B21:H21"/>
    <mergeCell ref="K21:L21"/>
    <mergeCell ref="B22:H22"/>
    <mergeCell ref="K22:L22"/>
    <mergeCell ref="B23:H23"/>
    <mergeCell ref="K23:L23"/>
    <mergeCell ref="B24:H24"/>
    <mergeCell ref="K24:L24"/>
    <mergeCell ref="B27:H27"/>
    <mergeCell ref="K27:L27"/>
    <mergeCell ref="B25:H25"/>
    <mergeCell ref="K25:L25"/>
    <mergeCell ref="B26:H26"/>
    <mergeCell ref="K26:L26"/>
    <mergeCell ref="B28:H28"/>
    <mergeCell ref="K28:L28"/>
    <mergeCell ref="B29:H29"/>
    <mergeCell ref="K29:L29"/>
    <mergeCell ref="B30:H30"/>
    <mergeCell ref="K30:L30"/>
    <mergeCell ref="B31:H31"/>
    <mergeCell ref="K31:L31"/>
    <mergeCell ref="B32:H32"/>
    <mergeCell ref="K32:L32"/>
    <mergeCell ref="B33:H33"/>
    <mergeCell ref="K33:L33"/>
    <mergeCell ref="B44:H44"/>
    <mergeCell ref="K44:L44"/>
    <mergeCell ref="B45:H45"/>
    <mergeCell ref="K45:L45"/>
    <mergeCell ref="B37:H37"/>
    <mergeCell ref="B42:H42"/>
    <mergeCell ref="K42:L42"/>
    <mergeCell ref="B39:H39"/>
    <mergeCell ref="K39:L39"/>
    <mergeCell ref="B40:H40"/>
    <mergeCell ref="K40:L40"/>
    <mergeCell ref="B41:H41"/>
    <mergeCell ref="K41:L41"/>
    <mergeCell ref="B43:H43"/>
    <mergeCell ref="K43:L43"/>
    <mergeCell ref="B58:E58"/>
    <mergeCell ref="F58:H58"/>
    <mergeCell ref="I58:L58"/>
    <mergeCell ref="A70:E70"/>
    <mergeCell ref="A64:L64"/>
    <mergeCell ref="A65:L65"/>
    <mergeCell ref="B54:E54"/>
    <mergeCell ref="F54:H54"/>
    <mergeCell ref="I54:L54"/>
    <mergeCell ref="B57:E57"/>
    <mergeCell ref="F57:H57"/>
    <mergeCell ref="I57:L57"/>
    <mergeCell ref="B55:E55"/>
    <mergeCell ref="F55:H55"/>
    <mergeCell ref="I55:L55"/>
    <mergeCell ref="B56:E56"/>
    <mergeCell ref="F56:H56"/>
    <mergeCell ref="I56:L56"/>
    <mergeCell ref="B53:E53"/>
    <mergeCell ref="F53:H53"/>
    <mergeCell ref="I53:L53"/>
    <mergeCell ref="B52:E52"/>
    <mergeCell ref="F52:H52"/>
    <mergeCell ref="I52:L52"/>
    <mergeCell ref="K46:L46"/>
    <mergeCell ref="K47:L47"/>
    <mergeCell ref="B51:E51"/>
    <mergeCell ref="F51:H51"/>
    <mergeCell ref="I51:L5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93"/>
  <sheetViews>
    <sheetView topLeftCell="A23" zoomScale="70" zoomScaleNormal="70" workbookViewId="0">
      <pane xSplit="12" topLeftCell="M1" activePane="topRight" state="frozen"/>
      <selection pane="topRight" activeCell="B24" sqref="B24:P43"/>
    </sheetView>
  </sheetViews>
  <sheetFormatPr defaultRowHeight="15"/>
  <cols>
    <col min="1" max="1" width="4.28515625" customWidth="1"/>
    <col min="2" max="2" width="9.85546875" customWidth="1"/>
    <col min="3" max="3" width="10.7109375" customWidth="1"/>
    <col min="4" max="4" width="6.28515625" customWidth="1"/>
    <col min="5" max="5" width="7.7109375" customWidth="1"/>
    <col min="6" max="6" width="9.7109375" customWidth="1"/>
    <col min="7" max="7" width="13" customWidth="1"/>
    <col min="8" max="8" width="12.85546875" customWidth="1"/>
    <col min="9" max="9" width="9.42578125" customWidth="1"/>
    <col min="10" max="10" width="11" customWidth="1"/>
    <col min="11" max="11" width="9.7109375" customWidth="1"/>
    <col min="12" max="12" width="3.85546875" customWidth="1"/>
    <col min="20" max="20" width="8.42578125" customWidth="1"/>
  </cols>
  <sheetData>
    <row r="1" spans="1:32" ht="18.75">
      <c r="A1" s="300" t="s">
        <v>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S1" s="398" t="s">
        <v>316</v>
      </c>
      <c r="T1" s="398"/>
      <c r="U1" s="398"/>
      <c r="V1" s="37"/>
      <c r="W1" s="37"/>
    </row>
    <row r="2" spans="1:32" ht="18.75">
      <c r="A2" s="300" t="s">
        <v>1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S2" s="226">
        <v>107</v>
      </c>
      <c r="T2" s="226">
        <v>1138.8</v>
      </c>
      <c r="U2" s="227">
        <f>T2*100/T12</f>
        <v>10.611948226216764</v>
      </c>
      <c r="V2">
        <v>70</v>
      </c>
      <c r="W2">
        <v>1136.5999999999999</v>
      </c>
      <c r="X2" s="27">
        <f>W2*100/W6</f>
        <v>25.062844542447625</v>
      </c>
      <c r="Y2" s="27"/>
      <c r="Z2">
        <v>82</v>
      </c>
      <c r="AA2">
        <v>1139.2</v>
      </c>
      <c r="AB2" s="27">
        <f>AA2*100/AA6</f>
        <v>24.995063299471227</v>
      </c>
      <c r="AD2">
        <v>83</v>
      </c>
      <c r="AE2">
        <v>1138.9000000000001</v>
      </c>
      <c r="AF2" s="27">
        <f>AE2*100/AE6</f>
        <v>24.994513453013212</v>
      </c>
    </row>
    <row r="3" spans="1:32" ht="18.75">
      <c r="A3" s="1"/>
      <c r="B3" s="3"/>
      <c r="C3" s="5" t="s">
        <v>2</v>
      </c>
      <c r="D3" s="237">
        <v>107</v>
      </c>
      <c r="E3" s="300" t="s">
        <v>101</v>
      </c>
      <c r="F3" s="300"/>
      <c r="G3" s="300"/>
      <c r="H3" s="300"/>
      <c r="I3" s="237">
        <v>2015</v>
      </c>
      <c r="J3" s="25" t="s">
        <v>24</v>
      </c>
      <c r="S3" s="226">
        <v>115</v>
      </c>
      <c r="T3" s="226">
        <v>945.5</v>
      </c>
      <c r="U3" s="227">
        <f>T3*100/T12</f>
        <v>8.8106753142676073</v>
      </c>
      <c r="V3">
        <v>71</v>
      </c>
      <c r="W3">
        <v>1132.9000000000001</v>
      </c>
      <c r="X3" s="27">
        <f>W3*100/W6</f>
        <v>24.981256890848957</v>
      </c>
      <c r="Y3" s="27"/>
      <c r="Z3">
        <v>90</v>
      </c>
      <c r="AA3">
        <v>1139.3</v>
      </c>
      <c r="AB3" s="27">
        <f>AA3*100/AA6</f>
        <v>24.997257388595127</v>
      </c>
      <c r="AD3">
        <v>91</v>
      </c>
      <c r="AE3">
        <v>1138.4000000000001</v>
      </c>
      <c r="AF3" s="27">
        <f>AE3*100/AE6</f>
        <v>24.983540359039637</v>
      </c>
    </row>
    <row r="4" spans="1:32">
      <c r="S4" s="226">
        <v>92</v>
      </c>
      <c r="T4" s="226">
        <v>1211.0999999999999</v>
      </c>
      <c r="U4" s="227">
        <f>T4*100/T12</f>
        <v>11.285678342791643</v>
      </c>
      <c r="V4">
        <v>76</v>
      </c>
      <c r="W4">
        <v>1134.5</v>
      </c>
      <c r="X4" s="27">
        <f>W4*100/W6</f>
        <v>25.016538037486217</v>
      </c>
      <c r="Y4" s="27"/>
      <c r="Z4">
        <v>98</v>
      </c>
      <c r="AA4">
        <v>1140.2</v>
      </c>
      <c r="AB4" s="27">
        <f>AA4*100/AA6</f>
        <v>25.017004190710228</v>
      </c>
      <c r="AD4">
        <v>99</v>
      </c>
      <c r="AE4">
        <v>1139.5999999999999</v>
      </c>
      <c r="AF4" s="27">
        <f>AE4*100/AE6</f>
        <v>25.009875784576213</v>
      </c>
    </row>
    <row r="5" spans="1:32" ht="15.75">
      <c r="A5" s="4" t="s">
        <v>191</v>
      </c>
      <c r="B5" s="234">
        <f>I3</f>
        <v>2015</v>
      </c>
      <c r="C5" t="s">
        <v>30</v>
      </c>
      <c r="D5" s="234" t="s">
        <v>194</v>
      </c>
      <c r="E5" s="113">
        <v>1138.8</v>
      </c>
      <c r="F5" t="s">
        <v>69</v>
      </c>
      <c r="S5" s="226">
        <v>106</v>
      </c>
      <c r="T5" s="226">
        <v>1139.7</v>
      </c>
      <c r="U5" s="227">
        <f>T5*100/T12</f>
        <v>10.62033490816583</v>
      </c>
      <c r="V5">
        <v>77</v>
      </c>
      <c r="W5">
        <v>1131</v>
      </c>
      <c r="X5" s="27">
        <f>W5*100/W6</f>
        <v>24.9393605292172</v>
      </c>
      <c r="Y5" s="27"/>
      <c r="Z5">
        <v>105</v>
      </c>
      <c r="AA5">
        <v>1139</v>
      </c>
      <c r="AB5" s="27">
        <f>AA5*100/AA6</f>
        <v>24.990675121223425</v>
      </c>
      <c r="AD5">
        <v>106</v>
      </c>
      <c r="AE5">
        <v>1139.7</v>
      </c>
      <c r="AF5" s="27">
        <f>AE5*100/AE6</f>
        <v>25.012070403370931</v>
      </c>
    </row>
    <row r="6" spans="1:32" ht="15.75">
      <c r="A6" s="399"/>
      <c r="B6" s="399"/>
      <c r="C6" s="6" t="s">
        <v>3</v>
      </c>
      <c r="G6" s="9">
        <f>A6-J7</f>
        <v>0</v>
      </c>
      <c r="H6" s="234" t="s">
        <v>99</v>
      </c>
      <c r="I6" s="8" t="e">
        <f>(G6/A6)*100</f>
        <v>#DIV/0!</v>
      </c>
      <c r="J6" t="s">
        <v>4</v>
      </c>
      <c r="S6" s="226">
        <v>124</v>
      </c>
      <c r="T6" s="226">
        <v>935.1</v>
      </c>
      <c r="U6" s="227">
        <f>T6*100/T12</f>
        <v>8.7137625450784135</v>
      </c>
      <c r="W6">
        <f>SUM(W2:W5)</f>
        <v>4535</v>
      </c>
      <c r="X6" s="27"/>
      <c r="Y6" s="27"/>
      <c r="AA6">
        <f>SUM(AA2:AA5)</f>
        <v>4557.7</v>
      </c>
      <c r="AB6" s="27"/>
      <c r="AE6">
        <f>SUM(AE2:AE5)</f>
        <v>4556.6000000000004</v>
      </c>
      <c r="AF6" s="27"/>
    </row>
    <row r="7" spans="1:32">
      <c r="A7" t="s">
        <v>98</v>
      </c>
      <c r="K7" t="s">
        <v>5</v>
      </c>
      <c r="O7" s="315" t="s">
        <v>309</v>
      </c>
      <c r="P7" s="315"/>
      <c r="Q7" s="315"/>
      <c r="R7" s="234"/>
      <c r="S7" s="226">
        <v>85</v>
      </c>
      <c r="T7" s="226">
        <v>1142.4000000000001</v>
      </c>
      <c r="U7" s="227">
        <f>T7*100/T12</f>
        <v>10.645494954013026</v>
      </c>
      <c r="AB7" s="27"/>
      <c r="AF7" s="27"/>
    </row>
    <row r="8" spans="1:32">
      <c r="A8" t="s">
        <v>97</v>
      </c>
      <c r="O8">
        <v>117</v>
      </c>
      <c r="P8">
        <v>581.1</v>
      </c>
      <c r="Q8" s="37">
        <f>P8*100/P17</f>
        <v>6.0011153337739582</v>
      </c>
      <c r="R8" s="37"/>
      <c r="S8" s="226">
        <v>100</v>
      </c>
      <c r="T8" s="226">
        <v>1138.8</v>
      </c>
      <c r="U8" s="227">
        <f>T8*100/T12</f>
        <v>10.611948226216764</v>
      </c>
      <c r="V8">
        <v>72</v>
      </c>
      <c r="W8">
        <v>1135.5999999999999</v>
      </c>
      <c r="X8" s="27">
        <f>W8*100/W12</f>
        <v>25.028100412139374</v>
      </c>
      <c r="Y8" s="27"/>
      <c r="Z8">
        <v>84</v>
      </c>
      <c r="AA8">
        <v>990.9</v>
      </c>
      <c r="AB8" s="27">
        <f>AA8*100/AA12</f>
        <v>22.117316191241464</v>
      </c>
      <c r="AD8">
        <v>85</v>
      </c>
      <c r="AE8">
        <v>1142.4000000000001</v>
      </c>
      <c r="AF8" s="27">
        <f>AE8*100/AE12</f>
        <v>25.129231649105829</v>
      </c>
    </row>
    <row r="9" spans="1:32">
      <c r="A9" t="s">
        <v>76</v>
      </c>
      <c r="B9" s="27"/>
      <c r="C9" t="s">
        <v>10</v>
      </c>
      <c r="E9" s="40" t="s">
        <v>78</v>
      </c>
      <c r="F9" s="27"/>
      <c r="G9" t="s">
        <v>10</v>
      </c>
      <c r="I9" s="40" t="s">
        <v>78</v>
      </c>
      <c r="J9" s="27"/>
      <c r="K9" t="s">
        <v>10</v>
      </c>
      <c r="O9">
        <v>107</v>
      </c>
      <c r="P9">
        <v>1139.7</v>
      </c>
      <c r="Q9" s="37">
        <f>P9*100/P17</f>
        <v>11.769869464639788</v>
      </c>
      <c r="R9" s="37"/>
      <c r="S9" s="226">
        <v>119</v>
      </c>
      <c r="T9" s="226">
        <v>945.5</v>
      </c>
      <c r="U9" s="227">
        <f>T9*100/T12</f>
        <v>8.8106753142676073</v>
      </c>
      <c r="V9">
        <v>73</v>
      </c>
      <c r="W9">
        <v>1135.7</v>
      </c>
      <c r="X9" s="27">
        <f>W9*100/W12</f>
        <v>25.030304366032663</v>
      </c>
      <c r="Y9" s="27"/>
      <c r="Z9">
        <v>92</v>
      </c>
      <c r="AA9">
        <v>1211.0999999999999</v>
      </c>
      <c r="AB9" s="27">
        <f>AA9*100/AA12</f>
        <v>27.032275344850675</v>
      </c>
      <c r="AD9">
        <v>93</v>
      </c>
      <c r="AE9">
        <v>1135.5</v>
      </c>
      <c r="AF9" s="27">
        <f>AE9*100/AE12</f>
        <v>24.977453201645364</v>
      </c>
    </row>
    <row r="10" spans="1:32">
      <c r="A10" t="s">
        <v>77</v>
      </c>
      <c r="B10" s="27"/>
      <c r="C10" t="s">
        <v>10</v>
      </c>
      <c r="E10" s="40" t="s">
        <v>80</v>
      </c>
      <c r="F10" s="27"/>
      <c r="G10" t="s">
        <v>10</v>
      </c>
      <c r="I10" s="40" t="s">
        <v>80</v>
      </c>
      <c r="J10" s="27"/>
      <c r="K10" t="s">
        <v>10</v>
      </c>
      <c r="O10">
        <v>100</v>
      </c>
      <c r="P10">
        <v>1138.4000000000001</v>
      </c>
      <c r="Q10" s="37">
        <f>P10*100/P17</f>
        <v>11.756444150693985</v>
      </c>
      <c r="R10" s="37"/>
      <c r="S10" s="226">
        <v>99</v>
      </c>
      <c r="T10" s="226">
        <v>1139.7</v>
      </c>
      <c r="U10" s="227">
        <f>T10*100/T12</f>
        <v>10.62033490816583</v>
      </c>
      <c r="V10">
        <v>78</v>
      </c>
      <c r="W10">
        <v>1129</v>
      </c>
      <c r="X10" s="27">
        <f>W10*100/W12</f>
        <v>24.882639455182595</v>
      </c>
      <c r="Y10" s="27"/>
      <c r="Z10">
        <v>100</v>
      </c>
      <c r="AA10">
        <v>1138.4000000000001</v>
      </c>
      <c r="AB10" s="27">
        <f>AA10*100/AA12</f>
        <v>25.409579929467437</v>
      </c>
      <c r="AD10">
        <v>101</v>
      </c>
      <c r="AE10">
        <v>1133.9000000000001</v>
      </c>
      <c r="AF10" s="27">
        <f>AE10*100/AE12</f>
        <v>24.942258199335697</v>
      </c>
    </row>
    <row r="11" spans="1:32">
      <c r="A11" t="s">
        <v>81</v>
      </c>
      <c r="B11" s="27"/>
      <c r="C11" t="s">
        <v>10</v>
      </c>
      <c r="E11" s="240" t="s">
        <v>79</v>
      </c>
      <c r="F11" s="27"/>
      <c r="G11" t="s">
        <v>10</v>
      </c>
      <c r="I11" s="240" t="s">
        <v>79</v>
      </c>
      <c r="J11" s="27"/>
      <c r="K11" t="s">
        <v>10</v>
      </c>
      <c r="O11">
        <v>92</v>
      </c>
      <c r="P11">
        <v>1138.9000000000001</v>
      </c>
      <c r="Q11" s="37">
        <f>P11*100/P17</f>
        <v>11.761607732980833</v>
      </c>
      <c r="R11" s="37"/>
      <c r="S11" s="226">
        <v>82</v>
      </c>
      <c r="T11" s="226">
        <v>994.7</v>
      </c>
      <c r="U11" s="227">
        <f>T11*100/T12</f>
        <v>9.2691472608164869</v>
      </c>
      <c r="V11">
        <v>79</v>
      </c>
      <c r="W11">
        <v>1137</v>
      </c>
      <c r="X11" s="27">
        <f>W11*100/W12</f>
        <v>25.058955766645362</v>
      </c>
      <c r="Y11" s="27"/>
      <c r="Z11">
        <v>107</v>
      </c>
      <c r="AA11">
        <v>1139.8</v>
      </c>
      <c r="AB11" s="27">
        <f>AA11*100/AA12</f>
        <v>25.440828534440428</v>
      </c>
      <c r="AD11">
        <v>108</v>
      </c>
      <c r="AE11">
        <v>1134.3</v>
      </c>
      <c r="AF11" s="27">
        <f>AE11*100/AE12</f>
        <v>24.951056949913109</v>
      </c>
    </row>
    <row r="12" spans="1:32">
      <c r="B12" s="27"/>
      <c r="E12" s="240"/>
      <c r="F12" s="27"/>
      <c r="I12" s="240"/>
      <c r="J12" s="27"/>
      <c r="O12">
        <v>84</v>
      </c>
      <c r="P12">
        <v>1139</v>
      </c>
      <c r="Q12" s="37">
        <f>P12*100/P17</f>
        <v>11.762640449438202</v>
      </c>
      <c r="R12" s="37"/>
      <c r="S12" s="226"/>
      <c r="T12" s="226">
        <f>SUM(T2:T11)</f>
        <v>10731.300000000003</v>
      </c>
      <c r="U12" s="227">
        <f>SUM(U2:U11)</f>
        <v>99.999999999999972</v>
      </c>
      <c r="W12">
        <f>SUM(W8:W11)</f>
        <v>4537.3</v>
      </c>
      <c r="X12" s="27"/>
      <c r="Y12" s="27"/>
      <c r="AA12">
        <f>SUM(AA8:AA11)</f>
        <v>4480.2</v>
      </c>
      <c r="AB12" s="27"/>
      <c r="AE12">
        <f>SUM(AE8:AE11)</f>
        <v>4546.1000000000004</v>
      </c>
      <c r="AF12" s="27"/>
    </row>
    <row r="13" spans="1:32" ht="15.75">
      <c r="A13" t="s">
        <v>32</v>
      </c>
      <c r="J13" s="27">
        <f>G14+G15+G16+G17</f>
        <v>0</v>
      </c>
      <c r="K13" s="29" t="s">
        <v>33</v>
      </c>
      <c r="O13">
        <v>108</v>
      </c>
      <c r="P13">
        <v>1134.3</v>
      </c>
      <c r="Q13" s="37">
        <f>P13*100/P17</f>
        <v>11.714102775941836</v>
      </c>
      <c r="R13" s="37"/>
      <c r="V13" s="37"/>
      <c r="W13" s="37"/>
      <c r="AB13" s="27"/>
      <c r="AF13" s="27"/>
    </row>
    <row r="14" spans="1:32">
      <c r="A14" s="10" t="s">
        <v>6</v>
      </c>
      <c r="B14" t="s">
        <v>7</v>
      </c>
      <c r="G14" s="7">
        <f>(J7*43.5/100)</f>
        <v>0</v>
      </c>
      <c r="H14" t="s">
        <v>10</v>
      </c>
      <c r="O14">
        <v>101</v>
      </c>
      <c r="P14">
        <v>1133.9000000000001</v>
      </c>
      <c r="Q14" s="37">
        <f>P14*100/P17</f>
        <v>11.70997191011236</v>
      </c>
      <c r="R14" s="37"/>
      <c r="V14">
        <v>111</v>
      </c>
      <c r="W14">
        <v>581.29999999999995</v>
      </c>
      <c r="X14" s="27">
        <f>W14*100/W18</f>
        <v>18.287925501793239</v>
      </c>
      <c r="Z14">
        <v>117</v>
      </c>
      <c r="AA14">
        <v>581.1</v>
      </c>
      <c r="AB14" s="27">
        <f>AA14*100/AA18</f>
        <v>17.130475797417606</v>
      </c>
      <c r="AD14">
        <v>124</v>
      </c>
      <c r="AE14">
        <v>935.1</v>
      </c>
      <c r="AF14" s="27">
        <f>AE14*100/AE17</f>
        <v>33.330957048654426</v>
      </c>
    </row>
    <row r="15" spans="1:32">
      <c r="A15" s="10" t="s">
        <v>6</v>
      </c>
      <c r="B15" t="s">
        <v>8</v>
      </c>
      <c r="G15" s="7">
        <f>(J7*36.6/100)</f>
        <v>0</v>
      </c>
      <c r="H15" t="s">
        <v>10</v>
      </c>
      <c r="O15">
        <v>93</v>
      </c>
      <c r="P15">
        <v>1135.5</v>
      </c>
      <c r="Q15" s="37">
        <f>P15*100/P17</f>
        <v>11.72649537343027</v>
      </c>
      <c r="R15" s="37"/>
      <c r="V15">
        <v>113</v>
      </c>
      <c r="W15">
        <v>952.5</v>
      </c>
      <c r="X15" s="27">
        <f>W15*100/W18</f>
        <v>29.966022777323349</v>
      </c>
      <c r="Z15">
        <v>119</v>
      </c>
      <c r="AA15">
        <v>945.5</v>
      </c>
      <c r="AB15" s="27">
        <f>AA15*100/AA18</f>
        <v>27.872766935911798</v>
      </c>
      <c r="AD15">
        <v>123</v>
      </c>
      <c r="AE15">
        <v>935.5</v>
      </c>
      <c r="AF15" s="27">
        <f>AE15*100/AE17</f>
        <v>33.345214756727856</v>
      </c>
    </row>
    <row r="16" spans="1:32">
      <c r="A16" s="10" t="s">
        <v>6</v>
      </c>
      <c r="B16" t="s">
        <v>9</v>
      </c>
      <c r="G16" s="7">
        <f>(J7*12.5/100)</f>
        <v>0</v>
      </c>
      <c r="H16" t="s">
        <v>10</v>
      </c>
      <c r="K16" s="6"/>
      <c r="L16" s="14"/>
      <c r="O16">
        <v>85</v>
      </c>
      <c r="P16">
        <v>1142.4000000000001</v>
      </c>
      <c r="Q16" s="37">
        <f>P16*100/P17</f>
        <v>11.797752808988765</v>
      </c>
      <c r="R16" s="37"/>
      <c r="V16">
        <v>114</v>
      </c>
      <c r="W16">
        <v>699.3</v>
      </c>
      <c r="X16" s="27">
        <f>W16*100/W18</f>
        <v>22.000251683130937</v>
      </c>
      <c r="Z16">
        <v>120</v>
      </c>
      <c r="AA16">
        <v>931.8</v>
      </c>
      <c r="AB16" s="27">
        <f>AA16*100/AA18</f>
        <v>27.468899239431639</v>
      </c>
      <c r="AD16">
        <v>122</v>
      </c>
      <c r="AE16">
        <v>934.9</v>
      </c>
      <c r="AF16" s="27">
        <f>AE16*100/AE17</f>
        <v>33.323828194617718</v>
      </c>
    </row>
    <row r="17" spans="1:32">
      <c r="A17" s="10" t="s">
        <v>6</v>
      </c>
      <c r="B17" t="s">
        <v>14</v>
      </c>
      <c r="G17" s="7">
        <f>(J7*7.4/100)</f>
        <v>0</v>
      </c>
      <c r="H17" t="s">
        <v>10</v>
      </c>
      <c r="O17" s="27"/>
      <c r="P17" s="27">
        <f>SUM(P8:P16)</f>
        <v>9683.2000000000007</v>
      </c>
      <c r="Q17" s="37"/>
      <c r="R17" s="37"/>
      <c r="V17">
        <v>115</v>
      </c>
      <c r="W17">
        <v>945.5</v>
      </c>
      <c r="X17" s="27">
        <f>W17*100/W18</f>
        <v>29.745800037752471</v>
      </c>
      <c r="Z17">
        <v>121</v>
      </c>
      <c r="AA17">
        <v>933.8</v>
      </c>
      <c r="AB17" s="27">
        <f>AA17*100/AA18</f>
        <v>27.52785802723896</v>
      </c>
      <c r="AE17">
        <f>SUM(AE14:AE16)</f>
        <v>2805.5</v>
      </c>
      <c r="AF17" s="27"/>
    </row>
    <row r="18" spans="1:32">
      <c r="G18" s="28"/>
      <c r="W18">
        <f>SUM(W14:W17)</f>
        <v>3178.6</v>
      </c>
      <c r="AA18">
        <f>SUM(AA14:AA17)</f>
        <v>3392.2</v>
      </c>
      <c r="AB18" s="27"/>
    </row>
    <row r="19" spans="1:32" ht="15.75" thickBot="1">
      <c r="A19" s="11" t="s">
        <v>11</v>
      </c>
      <c r="G19" s="7">
        <f>E5*5.45*12</f>
        <v>74477.52</v>
      </c>
      <c r="H19" t="s">
        <v>12</v>
      </c>
      <c r="X19" s="37"/>
      <c r="Y19" s="37"/>
      <c r="Z19" s="37"/>
    </row>
    <row r="20" spans="1:32" ht="15.75" thickBot="1">
      <c r="A20" s="302" t="e">
        <f>G19*I6/100</f>
        <v>#DIV/0!</v>
      </c>
      <c r="B20" s="302"/>
      <c r="C20" t="s">
        <v>75</v>
      </c>
      <c r="T20" s="171" t="s">
        <v>277</v>
      </c>
      <c r="U20" s="172" t="s">
        <v>273</v>
      </c>
      <c r="V20" s="173" t="s">
        <v>274</v>
      </c>
      <c r="W20" s="174" t="s">
        <v>275</v>
      </c>
      <c r="X20" s="175" t="s">
        <v>276</v>
      </c>
      <c r="Y20" s="37"/>
      <c r="Z20" s="171" t="s">
        <v>277</v>
      </c>
      <c r="AA20" s="172" t="s">
        <v>273</v>
      </c>
      <c r="AB20" s="173" t="s">
        <v>274</v>
      </c>
      <c r="AC20" s="174" t="s">
        <v>275</v>
      </c>
      <c r="AD20" s="175" t="s">
        <v>276</v>
      </c>
    </row>
    <row r="21" spans="1:32">
      <c r="A21" s="12" t="s">
        <v>2</v>
      </c>
      <c r="B21" s="303" t="s">
        <v>20</v>
      </c>
      <c r="C21" s="309"/>
      <c r="D21" s="309"/>
      <c r="E21" s="309"/>
      <c r="F21" s="309"/>
      <c r="G21" s="309"/>
      <c r="H21" s="304"/>
      <c r="I21" s="12" t="s">
        <v>18</v>
      </c>
      <c r="J21" s="17" t="s">
        <v>17</v>
      </c>
      <c r="K21" s="303" t="s">
        <v>15</v>
      </c>
      <c r="L21" s="304"/>
      <c r="S21">
        <v>1</v>
      </c>
      <c r="T21" s="178">
        <v>100</v>
      </c>
      <c r="U21" s="179">
        <v>1138.4000000000001</v>
      </c>
      <c r="V21" s="180">
        <v>1138.4000000000001</v>
      </c>
      <c r="W21" s="181">
        <f>V21*100/V67</f>
        <v>4.5688214856616307</v>
      </c>
      <c r="X21" s="182">
        <f>U21*100/V68</f>
        <v>2.2443737371208257</v>
      </c>
      <c r="Y21" s="37"/>
      <c r="Z21" s="178">
        <v>100</v>
      </c>
      <c r="AA21" s="179">
        <v>1138.4000000000001</v>
      </c>
      <c r="AB21" s="180">
        <v>1138.4000000000001</v>
      </c>
      <c r="AC21" s="181">
        <f>AB21*100/AB55</f>
        <v>4.5688214856616307</v>
      </c>
      <c r="AD21" s="182">
        <f>AA21*100/AA55</f>
        <v>3.2044768094850715</v>
      </c>
    </row>
    <row r="22" spans="1:32" ht="15.75" thickBot="1">
      <c r="A22" s="13" t="s">
        <v>13</v>
      </c>
      <c r="B22" s="286"/>
      <c r="C22" s="287"/>
      <c r="D22" s="287"/>
      <c r="E22" s="287"/>
      <c r="F22" s="287"/>
      <c r="G22" s="287"/>
      <c r="H22" s="288"/>
      <c r="I22" s="13" t="s">
        <v>19</v>
      </c>
      <c r="J22" s="18"/>
      <c r="K22" s="400" t="s">
        <v>16</v>
      </c>
      <c r="L22" s="401"/>
      <c r="S22">
        <v>2</v>
      </c>
      <c r="T22" s="183">
        <v>105</v>
      </c>
      <c r="U22" s="184">
        <v>1139</v>
      </c>
      <c r="V22" s="185">
        <v>1138.5999999999999</v>
      </c>
      <c r="W22" s="169">
        <f>V22*100/V67</f>
        <v>4.5696241598509584</v>
      </c>
      <c r="X22" s="186">
        <f>U22*100/V68</f>
        <v>2.2455566466800949</v>
      </c>
      <c r="Y22" s="37"/>
      <c r="Z22" s="183">
        <v>105</v>
      </c>
      <c r="AA22" s="184">
        <v>1139</v>
      </c>
      <c r="AB22" s="185">
        <v>1138.5999999999999</v>
      </c>
      <c r="AC22" s="169">
        <f>AB22*100/AB55</f>
        <v>4.5696241598509584</v>
      </c>
      <c r="AD22" s="186">
        <f>AA22*100/AA55</f>
        <v>3.2061657466650524</v>
      </c>
    </row>
    <row r="23" spans="1:32" ht="15.75" thickBot="1">
      <c r="A23" s="106"/>
      <c r="B23" s="402" t="s">
        <v>285</v>
      </c>
      <c r="C23" s="403"/>
      <c r="D23" s="403"/>
      <c r="E23" s="403"/>
      <c r="F23" s="403"/>
      <c r="G23" s="403"/>
      <c r="H23" s="404"/>
      <c r="I23" s="107"/>
      <c r="J23" s="22"/>
      <c r="K23" s="405">
        <f>'2013'!G47</f>
        <v>4059.5182052678429</v>
      </c>
      <c r="L23" s="406"/>
      <c r="S23">
        <v>3</v>
      </c>
      <c r="T23" s="183">
        <v>106</v>
      </c>
      <c r="U23" s="184">
        <v>1139.7</v>
      </c>
      <c r="V23" s="185">
        <v>1139.7</v>
      </c>
      <c r="W23" s="169">
        <f>V23*100/V67</f>
        <v>4.574038867892269</v>
      </c>
      <c r="X23" s="186">
        <f>U23*100/V68</f>
        <v>2.2469367078325764</v>
      </c>
      <c r="Y23" s="37"/>
      <c r="Z23" s="183">
        <v>106</v>
      </c>
      <c r="AA23" s="184">
        <v>1139.7</v>
      </c>
      <c r="AB23" s="185">
        <v>1139.7</v>
      </c>
      <c r="AC23" s="169">
        <f>AB23*100/AB55</f>
        <v>4.574038867892269</v>
      </c>
      <c r="AD23" s="186">
        <f>AA23*100/AA55</f>
        <v>3.2081361733750309</v>
      </c>
    </row>
    <row r="24" spans="1:32">
      <c r="A24" s="21">
        <v>1</v>
      </c>
      <c r="B24" s="407"/>
      <c r="C24" s="313"/>
      <c r="D24" s="313"/>
      <c r="E24" s="313"/>
      <c r="F24" s="313"/>
      <c r="G24" s="313"/>
      <c r="H24" s="280"/>
      <c r="I24" s="21"/>
      <c r="J24" s="232"/>
      <c r="K24" s="373"/>
      <c r="L24" s="374"/>
      <c r="Q24" s="76" t="s">
        <v>258</v>
      </c>
      <c r="S24">
        <v>4</v>
      </c>
      <c r="T24" s="183">
        <v>113</v>
      </c>
      <c r="U24" s="184">
        <v>1139.8</v>
      </c>
      <c r="V24" s="190">
        <v>951</v>
      </c>
      <c r="W24" s="169">
        <f>V24*100/V67</f>
        <v>3.8167157702601986</v>
      </c>
      <c r="X24" s="186">
        <f>U24*100/V68</f>
        <v>2.2471338594257877</v>
      </c>
      <c r="Y24" s="37"/>
      <c r="Z24" s="183">
        <v>113</v>
      </c>
      <c r="AA24" s="189">
        <v>952.5</v>
      </c>
      <c r="AB24" s="190">
        <v>951</v>
      </c>
      <c r="AC24" s="169">
        <f>AB24*100/AB55</f>
        <v>3.8167157702601986</v>
      </c>
      <c r="AD24" s="186">
        <f>AA24*100/AA55</f>
        <v>2.681187773220775</v>
      </c>
    </row>
    <row r="25" spans="1:32">
      <c r="A25" s="225">
        <v>2</v>
      </c>
      <c r="B25" s="263"/>
      <c r="C25" s="266"/>
      <c r="D25" s="266"/>
      <c r="E25" s="266"/>
      <c r="F25" s="266"/>
      <c r="G25" s="266"/>
      <c r="H25" s="266"/>
      <c r="I25" s="165"/>
      <c r="J25" s="166"/>
      <c r="K25" s="396"/>
      <c r="L25" s="397"/>
      <c r="S25">
        <v>5</v>
      </c>
      <c r="T25" s="183">
        <v>114</v>
      </c>
      <c r="U25" s="189">
        <v>952.5</v>
      </c>
      <c r="V25" s="190">
        <v>989.1</v>
      </c>
      <c r="W25" s="169">
        <f>V25*100/V67</f>
        <v>3.9696252033274053</v>
      </c>
      <c r="X25" s="186">
        <f>U25*100/V68</f>
        <v>1.8778689253404657</v>
      </c>
      <c r="Y25" s="37"/>
      <c r="Z25" s="183">
        <v>114</v>
      </c>
      <c r="AA25" s="189">
        <v>699.3</v>
      </c>
      <c r="AB25" s="190">
        <v>989.1</v>
      </c>
      <c r="AC25" s="169">
        <f>AB25*100/AB55</f>
        <v>3.9696252033274053</v>
      </c>
      <c r="AD25" s="186">
        <f>AA25*100/AA55</f>
        <v>1.9684562832685437</v>
      </c>
    </row>
    <row r="26" spans="1:32">
      <c r="A26" s="225">
        <v>3</v>
      </c>
      <c r="B26" s="263"/>
      <c r="C26" s="266"/>
      <c r="D26" s="266"/>
      <c r="E26" s="266"/>
      <c r="F26" s="266"/>
      <c r="G26" s="266"/>
      <c r="H26" s="266"/>
      <c r="I26" s="165"/>
      <c r="J26" s="166"/>
      <c r="K26" s="396"/>
      <c r="L26" s="397"/>
      <c r="S26">
        <v>6</v>
      </c>
      <c r="T26" s="183">
        <v>111</v>
      </c>
      <c r="U26" s="189">
        <v>989.1</v>
      </c>
      <c r="V26" s="190">
        <v>673.89</v>
      </c>
      <c r="W26" s="169">
        <f>V26*100/V67</f>
        <v>2.7045705472351682</v>
      </c>
      <c r="X26" s="186">
        <f>U26*100/V68</f>
        <v>1.9500264084559105</v>
      </c>
      <c r="Z26" s="183">
        <v>111</v>
      </c>
      <c r="AA26" s="189">
        <v>581.29999999999995</v>
      </c>
      <c r="AB26" s="190">
        <v>673.89</v>
      </c>
      <c r="AC26" s="169">
        <f>AB26*100/AB55</f>
        <v>2.7045705472351682</v>
      </c>
      <c r="AD26" s="186">
        <f>AA26*100/AA55</f>
        <v>1.636298637872164</v>
      </c>
    </row>
    <row r="27" spans="1:32">
      <c r="A27" s="232">
        <f>A23+1</f>
        <v>1</v>
      </c>
      <c r="B27" s="273"/>
      <c r="C27" s="274"/>
      <c r="D27" s="274"/>
      <c r="E27" s="274"/>
      <c r="F27" s="274"/>
      <c r="G27" s="274"/>
      <c r="H27" s="274"/>
      <c r="I27" s="140"/>
      <c r="J27" s="143"/>
      <c r="K27" s="373"/>
      <c r="L27" s="374"/>
      <c r="S27">
        <v>7</v>
      </c>
      <c r="T27" s="183">
        <v>101</v>
      </c>
      <c r="U27" s="189">
        <v>673.89</v>
      </c>
      <c r="V27" s="190">
        <v>953.6</v>
      </c>
      <c r="W27" s="169">
        <f>V27*100/V67</f>
        <v>3.8271505347214778</v>
      </c>
      <c r="X27" s="186">
        <f>U27*100/V68</f>
        <v>1.3285848714936341</v>
      </c>
      <c r="Y27" s="37"/>
      <c r="Z27" s="183">
        <v>101</v>
      </c>
      <c r="AA27" s="189">
        <v>1133.9000000000001</v>
      </c>
      <c r="AB27" s="190">
        <v>953.6</v>
      </c>
      <c r="AC27" s="169">
        <f>AB27*100/AB55</f>
        <v>3.8271505347214778</v>
      </c>
      <c r="AD27" s="186">
        <f>AA27*100/AA55</f>
        <v>3.1918097806352095</v>
      </c>
    </row>
    <row r="28" spans="1:32">
      <c r="A28" s="236">
        <f t="shared" ref="A28:A33" si="0">A27+1</f>
        <v>2</v>
      </c>
      <c r="B28" s="273"/>
      <c r="C28" s="274"/>
      <c r="D28" s="274"/>
      <c r="E28" s="274"/>
      <c r="F28" s="274"/>
      <c r="G28" s="274"/>
      <c r="H28" s="275"/>
      <c r="I28" s="243"/>
      <c r="J28" s="140"/>
      <c r="K28" s="331"/>
      <c r="L28" s="332"/>
      <c r="S28">
        <v>8</v>
      </c>
      <c r="T28" s="183">
        <v>108</v>
      </c>
      <c r="U28" s="189">
        <v>1133.9000000000001</v>
      </c>
      <c r="V28" s="190">
        <v>730.32</v>
      </c>
      <c r="W28" s="169">
        <f>V28*100/V67</f>
        <v>2.9310450697543935</v>
      </c>
      <c r="X28" s="186">
        <f>U28*100/V68</f>
        <v>2.2355019154263038</v>
      </c>
      <c r="Y28" s="37"/>
      <c r="Z28" s="183">
        <v>108</v>
      </c>
      <c r="AA28" s="189">
        <v>1134.3</v>
      </c>
      <c r="AB28" s="190">
        <v>730.32</v>
      </c>
      <c r="AC28" s="169">
        <f>AB28*100/AB55</f>
        <v>2.9310450697543935</v>
      </c>
      <c r="AD28" s="186">
        <f>AA28*100/AA55</f>
        <v>3.1929357387551969</v>
      </c>
    </row>
    <row r="29" spans="1:32">
      <c r="A29" s="236">
        <f t="shared" si="0"/>
        <v>3</v>
      </c>
      <c r="B29" s="278"/>
      <c r="C29" s="279"/>
      <c r="D29" s="279"/>
      <c r="E29" s="279"/>
      <c r="F29" s="279"/>
      <c r="G29" s="279"/>
      <c r="H29" s="280"/>
      <c r="I29" s="165"/>
      <c r="J29" s="166"/>
      <c r="K29" s="394"/>
      <c r="L29" s="395"/>
      <c r="S29">
        <v>9</v>
      </c>
      <c r="T29" s="226">
        <v>107</v>
      </c>
      <c r="U29" s="189">
        <v>1134.3</v>
      </c>
      <c r="V29" s="190">
        <v>941.1</v>
      </c>
      <c r="W29" s="169">
        <f>V29*100/V67</f>
        <v>3.7769833978884044</v>
      </c>
      <c r="X29" s="186">
        <f>U29*100/V68</f>
        <v>2.23629052179915</v>
      </c>
      <c r="Y29" s="37"/>
      <c r="Z29" s="183">
        <v>115</v>
      </c>
      <c r="AA29" s="189">
        <v>945.5</v>
      </c>
      <c r="AB29" s="190">
        <v>941.1</v>
      </c>
      <c r="AC29" s="169">
        <f>AB29*100/AB55</f>
        <v>3.7769833978884044</v>
      </c>
      <c r="AD29" s="186">
        <f>AA29*100/AA55</f>
        <v>2.6614835061209896</v>
      </c>
    </row>
    <row r="30" spans="1:32">
      <c r="A30" s="236">
        <f t="shared" si="0"/>
        <v>4</v>
      </c>
      <c r="B30" s="278"/>
      <c r="C30" s="279"/>
      <c r="D30" s="279"/>
      <c r="E30" s="279"/>
      <c r="F30" s="279"/>
      <c r="G30" s="279"/>
      <c r="H30" s="280"/>
      <c r="I30" s="165"/>
      <c r="J30" s="166"/>
      <c r="K30" s="373"/>
      <c r="L30" s="395"/>
      <c r="S30">
        <v>10</v>
      </c>
      <c r="T30" s="183">
        <v>115</v>
      </c>
      <c r="U30" s="189">
        <v>945.5</v>
      </c>
      <c r="V30" s="190">
        <v>682.1</v>
      </c>
      <c r="W30" s="169">
        <f>V30*100/V67</f>
        <v>2.7375203227071307</v>
      </c>
      <c r="X30" s="186">
        <f>U30*100/V68</f>
        <v>1.864068313815654</v>
      </c>
      <c r="Y30" s="37"/>
      <c r="Z30" s="183">
        <v>117</v>
      </c>
      <c r="AA30" s="189">
        <v>581.1</v>
      </c>
      <c r="AB30" s="190">
        <v>682.1</v>
      </c>
      <c r="AC30" s="169">
        <f>AB30*100/AB55</f>
        <v>2.7375203227071307</v>
      </c>
      <c r="AD30" s="186">
        <f>AA30*100/AA55</f>
        <v>1.6357356588121703</v>
      </c>
    </row>
    <row r="31" spans="1:32">
      <c r="A31" s="236">
        <f t="shared" si="0"/>
        <v>5</v>
      </c>
      <c r="B31" s="273"/>
      <c r="C31" s="274"/>
      <c r="D31" s="274"/>
      <c r="E31" s="274"/>
      <c r="F31" s="274"/>
      <c r="G31" s="274"/>
      <c r="H31" s="275"/>
      <c r="I31" s="86"/>
      <c r="J31" s="87"/>
      <c r="K31" s="271"/>
      <c r="L31" s="272"/>
      <c r="S31">
        <v>11</v>
      </c>
      <c r="T31" s="183">
        <v>117</v>
      </c>
      <c r="U31" s="189">
        <v>682.1</v>
      </c>
      <c r="V31" s="190">
        <v>942.5</v>
      </c>
      <c r="W31" s="169">
        <f>V31*100/V67</f>
        <v>3.7826021172137088</v>
      </c>
      <c r="X31" s="186">
        <f>U31*100/V68</f>
        <v>1.3447710172963063</v>
      </c>
      <c r="Y31" s="37"/>
      <c r="Z31" s="183">
        <v>119</v>
      </c>
      <c r="AA31" s="189">
        <v>945.5</v>
      </c>
      <c r="AB31" s="190">
        <v>942.5</v>
      </c>
      <c r="AC31" s="169">
        <f>AB31*100/AB55</f>
        <v>3.7826021172137088</v>
      </c>
      <c r="AD31" s="186">
        <f>AA31*100/AA55</f>
        <v>2.6614835061209896</v>
      </c>
    </row>
    <row r="32" spans="1:32">
      <c r="A32" s="236">
        <f t="shared" si="0"/>
        <v>6</v>
      </c>
      <c r="B32" s="278"/>
      <c r="C32" s="279"/>
      <c r="D32" s="279"/>
      <c r="E32" s="279"/>
      <c r="F32" s="279"/>
      <c r="G32" s="279"/>
      <c r="H32" s="280"/>
      <c r="I32" s="21"/>
      <c r="J32" s="234"/>
      <c r="K32" s="373"/>
      <c r="L32" s="374"/>
      <c r="S32">
        <v>12</v>
      </c>
      <c r="T32" s="183">
        <v>119</v>
      </c>
      <c r="U32" s="189">
        <v>945.5</v>
      </c>
      <c r="V32" s="190">
        <v>936.2</v>
      </c>
      <c r="W32" s="169">
        <f>V32*100/V67</f>
        <v>3.7573178802498401</v>
      </c>
      <c r="X32" s="186">
        <f>U32*100/V68</f>
        <v>1.864068313815654</v>
      </c>
      <c r="Y32" s="37"/>
      <c r="Z32" s="183">
        <v>120</v>
      </c>
      <c r="AA32" s="189">
        <v>931.8</v>
      </c>
      <c r="AB32" s="190">
        <v>936.2</v>
      </c>
      <c r="AC32" s="169">
        <f>AB32*100/AB55</f>
        <v>3.7573178802498401</v>
      </c>
      <c r="AD32" s="186">
        <f>AA32*100/AA55</f>
        <v>2.62291944051141</v>
      </c>
    </row>
    <row r="33" spans="1:30" ht="15" customHeight="1">
      <c r="A33" s="236">
        <f t="shared" si="0"/>
        <v>7</v>
      </c>
      <c r="B33" s="370"/>
      <c r="C33" s="371"/>
      <c r="D33" s="371"/>
      <c r="E33" s="371"/>
      <c r="F33" s="371"/>
      <c r="G33" s="371"/>
      <c r="H33" s="372"/>
      <c r="I33" s="21"/>
      <c r="J33" s="166"/>
      <c r="K33" s="271"/>
      <c r="L33" s="272"/>
      <c r="S33">
        <v>13</v>
      </c>
      <c r="T33" s="183">
        <v>120</v>
      </c>
      <c r="U33" s="189">
        <v>931.8</v>
      </c>
      <c r="V33" s="190">
        <v>934.2</v>
      </c>
      <c r="W33" s="169">
        <f>V33*100/V67</f>
        <v>3.7492911383565484</v>
      </c>
      <c r="X33" s="186">
        <f>U33*100/V68</f>
        <v>1.8370585455456652</v>
      </c>
      <c r="Y33" s="37"/>
      <c r="Z33" s="183">
        <v>121</v>
      </c>
      <c r="AA33" s="189">
        <v>933.8</v>
      </c>
      <c r="AB33" s="190">
        <v>934.2</v>
      </c>
      <c r="AC33" s="169">
        <f>AB33*100/AB55</f>
        <v>3.7492911383565484</v>
      </c>
      <c r="AD33" s="186">
        <f>AA33*100/AA55</f>
        <v>2.6285492311113487</v>
      </c>
    </row>
    <row r="34" spans="1:30" ht="15" customHeight="1">
      <c r="A34" s="21"/>
      <c r="B34" s="370"/>
      <c r="C34" s="371"/>
      <c r="D34" s="371"/>
      <c r="E34" s="371"/>
      <c r="F34" s="371"/>
      <c r="G34" s="371"/>
      <c r="H34" s="372"/>
      <c r="I34" s="21"/>
      <c r="J34" s="166"/>
      <c r="K34" s="271"/>
      <c r="L34" s="272"/>
      <c r="S34">
        <v>14</v>
      </c>
      <c r="T34" s="183">
        <v>121</v>
      </c>
      <c r="U34" s="189">
        <v>933.8</v>
      </c>
      <c r="V34" s="190">
        <v>935.3</v>
      </c>
      <c r="W34" s="169">
        <f>V34*100/V67</f>
        <v>3.7537058463978585</v>
      </c>
      <c r="X34" s="186">
        <f>U34*100/V68</f>
        <v>1.8410015774098971</v>
      </c>
      <c r="Y34" s="37"/>
      <c r="Z34" s="183">
        <v>122</v>
      </c>
      <c r="AA34" s="189">
        <v>934.9</v>
      </c>
      <c r="AB34" s="190">
        <v>935.3</v>
      </c>
      <c r="AC34" s="169">
        <f>AB34*100/AB55</f>
        <v>3.7537058463978585</v>
      </c>
      <c r="AD34" s="186">
        <f>AA34*100/AA55</f>
        <v>2.6316456159413146</v>
      </c>
    </row>
    <row r="35" spans="1:30">
      <c r="A35" s="225"/>
      <c r="B35" s="370"/>
      <c r="C35" s="371"/>
      <c r="D35" s="371"/>
      <c r="E35" s="371"/>
      <c r="F35" s="371"/>
      <c r="G35" s="371"/>
      <c r="H35" s="372"/>
      <c r="I35" s="21"/>
      <c r="J35" s="166"/>
      <c r="K35" s="271"/>
      <c r="L35" s="272"/>
      <c r="S35">
        <v>15</v>
      </c>
      <c r="T35" s="183">
        <v>122</v>
      </c>
      <c r="U35" s="189">
        <v>934.9</v>
      </c>
      <c r="V35" s="190">
        <v>938.1</v>
      </c>
      <c r="W35" s="169">
        <f>V35*100/V67</f>
        <v>3.7649432850484672</v>
      </c>
      <c r="X35" s="186">
        <f>U35*100/V68</f>
        <v>1.8431702449352245</v>
      </c>
      <c r="Y35" s="37"/>
      <c r="Z35" s="183">
        <v>123</v>
      </c>
      <c r="AA35" s="189">
        <v>935.5</v>
      </c>
      <c r="AB35" s="190">
        <v>938.1</v>
      </c>
      <c r="AC35" s="169">
        <f>AB35*100/AB55</f>
        <v>3.7649432850484672</v>
      </c>
      <c r="AD35" s="186">
        <f>AA35*100/AA55</f>
        <v>2.6333345531212964</v>
      </c>
    </row>
    <row r="36" spans="1:30">
      <c r="A36" s="225"/>
      <c r="B36" s="370"/>
      <c r="C36" s="371"/>
      <c r="D36" s="371"/>
      <c r="E36" s="371"/>
      <c r="F36" s="371"/>
      <c r="G36" s="371"/>
      <c r="H36" s="372"/>
      <c r="I36" s="21"/>
      <c r="J36" s="166"/>
      <c r="K36" s="271"/>
      <c r="L36" s="272"/>
      <c r="S36">
        <v>16</v>
      </c>
      <c r="T36" s="183">
        <v>123</v>
      </c>
      <c r="U36" s="189">
        <v>935.5</v>
      </c>
      <c r="V36" s="190">
        <v>935.1</v>
      </c>
      <c r="W36" s="169">
        <f>V36*100/V67</f>
        <v>3.7529031722085295</v>
      </c>
      <c r="X36" s="186">
        <f>U36*100/V68</f>
        <v>1.8443531544944942</v>
      </c>
      <c r="Y36" s="37"/>
      <c r="Z36" s="183">
        <v>124</v>
      </c>
      <c r="AA36" s="189">
        <v>935.1</v>
      </c>
      <c r="AB36" s="190">
        <v>935.1</v>
      </c>
      <c r="AC36" s="169">
        <f>AB36*100/AB55</f>
        <v>3.7529031722085295</v>
      </c>
      <c r="AD36" s="186">
        <f>AA36*100/AA55</f>
        <v>2.6322085950013085</v>
      </c>
    </row>
    <row r="37" spans="1:30">
      <c r="A37" s="225"/>
      <c r="B37" s="263"/>
      <c r="C37" s="266"/>
      <c r="D37" s="266"/>
      <c r="E37" s="266"/>
      <c r="F37" s="266"/>
      <c r="G37" s="266"/>
      <c r="H37" s="265"/>
      <c r="I37" s="21"/>
      <c r="J37" s="166"/>
      <c r="K37" s="271"/>
      <c r="L37" s="272"/>
      <c r="S37">
        <v>17</v>
      </c>
      <c r="T37" s="183">
        <v>124</v>
      </c>
      <c r="U37" s="189">
        <v>935.1</v>
      </c>
      <c r="V37" s="190">
        <v>961.1</v>
      </c>
      <c r="W37" s="169">
        <f>V37*100/V67</f>
        <v>3.8572508168213213</v>
      </c>
      <c r="X37" s="186">
        <f>U37*100/V68</f>
        <v>1.8435645481216478</v>
      </c>
      <c r="Y37" s="37"/>
      <c r="Z37" s="183">
        <v>82</v>
      </c>
      <c r="AA37" s="189">
        <v>1139.2</v>
      </c>
      <c r="AB37" s="190">
        <v>961.1</v>
      </c>
      <c r="AC37" s="169">
        <f>AB37*100/AB55</f>
        <v>3.8572508168213213</v>
      </c>
      <c r="AD37" s="186">
        <f>AA37*100/AA55</f>
        <v>3.2067287257250463</v>
      </c>
    </row>
    <row r="38" spans="1:30">
      <c r="A38" s="225"/>
      <c r="B38" s="370"/>
      <c r="C38" s="371"/>
      <c r="D38" s="371"/>
      <c r="E38" s="371"/>
      <c r="F38" s="371"/>
      <c r="G38" s="371"/>
      <c r="H38" s="372"/>
      <c r="I38" s="21"/>
      <c r="J38" s="166"/>
      <c r="K38" s="271"/>
      <c r="L38" s="272"/>
      <c r="S38">
        <v>18</v>
      </c>
      <c r="T38" s="183">
        <v>82</v>
      </c>
      <c r="U38" s="189">
        <v>1139.2</v>
      </c>
      <c r="V38" s="190">
        <v>637.9</v>
      </c>
      <c r="W38" s="169">
        <f>V38*100/V67</f>
        <v>2.5601293268653844</v>
      </c>
      <c r="X38" s="186">
        <f>U38*100/V68</f>
        <v>2.245950949866518</v>
      </c>
      <c r="Y38" s="37"/>
      <c r="Z38" s="183">
        <v>83</v>
      </c>
      <c r="AA38" s="189">
        <v>1138.9000000000001</v>
      </c>
      <c r="AB38" s="190">
        <v>637.9</v>
      </c>
      <c r="AC38" s="169">
        <f>AB38*100/AB55</f>
        <v>2.5601293268653844</v>
      </c>
      <c r="AD38" s="186">
        <f>AA38*100/AA55</f>
        <v>3.2058842571350561</v>
      </c>
    </row>
    <row r="39" spans="1:30">
      <c r="A39" s="228"/>
      <c r="B39" s="263"/>
      <c r="C39" s="266"/>
      <c r="D39" s="266"/>
      <c r="E39" s="266"/>
      <c r="F39" s="266"/>
      <c r="G39" s="266"/>
      <c r="H39" s="265"/>
      <c r="I39" s="67"/>
      <c r="J39" s="229"/>
      <c r="K39" s="392"/>
      <c r="L39" s="393"/>
      <c r="S39">
        <v>19</v>
      </c>
      <c r="T39" s="183">
        <v>83</v>
      </c>
      <c r="U39" s="189">
        <v>1138.9000000000001</v>
      </c>
      <c r="V39" s="190">
        <v>945.6</v>
      </c>
      <c r="W39" s="169">
        <f>V39*100/V67</f>
        <v>3.7950435671483107</v>
      </c>
      <c r="X39" s="186">
        <f>U39*100/V68</f>
        <v>2.2453594950868836</v>
      </c>
      <c r="Y39" s="37"/>
      <c r="Z39" s="183">
        <v>84</v>
      </c>
      <c r="AA39" s="189">
        <v>1139</v>
      </c>
      <c r="AB39" s="190">
        <v>945.6</v>
      </c>
      <c r="AC39" s="169">
        <f>AB39*100/AB55</f>
        <v>3.7950435671483107</v>
      </c>
      <c r="AD39" s="186">
        <f>AA39*100/AA55</f>
        <v>3.2061657466650524</v>
      </c>
    </row>
    <row r="40" spans="1:30">
      <c r="A40" s="228"/>
      <c r="B40" s="273"/>
      <c r="C40" s="274"/>
      <c r="D40" s="274"/>
      <c r="E40" s="274"/>
      <c r="F40" s="274"/>
      <c r="G40" s="274"/>
      <c r="H40" s="275"/>
      <c r="I40" s="67"/>
      <c r="J40" s="229"/>
      <c r="K40" s="392"/>
      <c r="L40" s="393"/>
      <c r="S40">
        <v>20</v>
      </c>
      <c r="T40" s="183">
        <v>84</v>
      </c>
      <c r="U40" s="189">
        <v>1139</v>
      </c>
      <c r="V40" s="190">
        <v>892.1</v>
      </c>
      <c r="W40" s="169">
        <f>V40*100/V67</f>
        <v>3.5803282215027581</v>
      </c>
      <c r="X40" s="186">
        <f>U40*100/V68</f>
        <v>2.2455566466800949</v>
      </c>
      <c r="Y40" s="37"/>
      <c r="Z40" s="183">
        <v>85</v>
      </c>
      <c r="AA40" s="189">
        <v>1142.4000000000001</v>
      </c>
      <c r="AB40" s="190">
        <v>892.1</v>
      </c>
      <c r="AC40" s="169">
        <f>AB40*100/AB55</f>
        <v>3.5803282215027581</v>
      </c>
      <c r="AD40" s="186">
        <f>AA40*100/AA55</f>
        <v>3.2157363906849485</v>
      </c>
    </row>
    <row r="41" spans="1:30">
      <c r="A41" s="228"/>
      <c r="B41" s="273"/>
      <c r="C41" s="274"/>
      <c r="D41" s="274"/>
      <c r="E41" s="274"/>
      <c r="F41" s="274"/>
      <c r="G41" s="274"/>
      <c r="H41" s="275"/>
      <c r="I41" s="21"/>
      <c r="J41" s="230"/>
      <c r="K41" s="373"/>
      <c r="L41" s="374"/>
      <c r="S41">
        <v>21</v>
      </c>
      <c r="T41" s="183">
        <v>85</v>
      </c>
      <c r="U41" s="189">
        <v>1142.4000000000001</v>
      </c>
      <c r="V41" s="185">
        <v>1139.3</v>
      </c>
      <c r="W41" s="169">
        <f>V41*100/V67</f>
        <v>4.572433519513611</v>
      </c>
      <c r="X41" s="186">
        <f>U41*100/V68</f>
        <v>2.2522598008492896</v>
      </c>
      <c r="Y41" s="37"/>
      <c r="Z41" s="183">
        <v>90</v>
      </c>
      <c r="AA41" s="184">
        <v>1139.3</v>
      </c>
      <c r="AB41" s="185">
        <v>1139.3</v>
      </c>
      <c r="AC41" s="169">
        <f>AB41*100/AB55</f>
        <v>4.572433519513611</v>
      </c>
      <c r="AD41" s="186">
        <f>AA41*100/AA55</f>
        <v>3.2070102152550435</v>
      </c>
    </row>
    <row r="42" spans="1:30">
      <c r="A42" s="21"/>
      <c r="B42" s="278"/>
      <c r="C42" s="279"/>
      <c r="D42" s="279"/>
      <c r="E42" s="279"/>
      <c r="F42" s="279"/>
      <c r="G42" s="279"/>
      <c r="H42" s="280"/>
      <c r="I42" s="21"/>
      <c r="J42" s="236"/>
      <c r="K42" s="271"/>
      <c r="L42" s="272"/>
      <c r="S42">
        <v>22</v>
      </c>
      <c r="T42" s="183">
        <v>90</v>
      </c>
      <c r="U42" s="184">
        <v>1139.3</v>
      </c>
      <c r="V42" s="185">
        <v>1123.3</v>
      </c>
      <c r="W42" s="169">
        <f>V42*100/V67</f>
        <v>4.5082195843672777</v>
      </c>
      <c r="X42" s="186">
        <f>U42*100/V68</f>
        <v>2.2461481014597298</v>
      </c>
      <c r="Y42" s="37"/>
      <c r="Z42" s="183">
        <v>91</v>
      </c>
      <c r="AA42" s="184">
        <v>1138.4000000000001</v>
      </c>
      <c r="AB42" s="185">
        <v>1123.3</v>
      </c>
      <c r="AC42" s="169">
        <f>AB42*100/AB55</f>
        <v>4.5082195843672777</v>
      </c>
      <c r="AD42" s="186">
        <f>AA42*100/AA55</f>
        <v>3.2044768094850715</v>
      </c>
    </row>
    <row r="43" spans="1:30">
      <c r="A43" s="228"/>
      <c r="B43" s="273"/>
      <c r="C43" s="274"/>
      <c r="D43" s="274"/>
      <c r="E43" s="274"/>
      <c r="F43" s="274"/>
      <c r="G43" s="274"/>
      <c r="H43" s="275"/>
      <c r="I43" s="243"/>
      <c r="J43" s="140"/>
      <c r="K43" s="373"/>
      <c r="L43" s="374"/>
      <c r="S43">
        <v>23</v>
      </c>
      <c r="T43" s="183">
        <v>91</v>
      </c>
      <c r="U43" s="184">
        <v>1138.4000000000001</v>
      </c>
      <c r="V43" s="185">
        <v>1138.9000000000001</v>
      </c>
      <c r="W43" s="169">
        <f>V43*100/V67</f>
        <v>4.570828171134953</v>
      </c>
      <c r="X43" s="186">
        <f>U43*100/V68</f>
        <v>2.2443737371208257</v>
      </c>
      <c r="Y43" s="37"/>
      <c r="Z43" s="183">
        <v>92</v>
      </c>
      <c r="AA43" s="184">
        <v>1138.9000000000001</v>
      </c>
      <c r="AB43" s="185">
        <v>1138.9000000000001</v>
      </c>
      <c r="AC43" s="169">
        <f>AB43*100/AB55</f>
        <v>4.570828171134953</v>
      </c>
      <c r="AD43" s="186">
        <f>AA43*100/AA55</f>
        <v>3.2058842571350561</v>
      </c>
    </row>
    <row r="44" spans="1:30">
      <c r="A44" s="21"/>
      <c r="B44" s="278" t="s">
        <v>240</v>
      </c>
      <c r="C44" s="279"/>
      <c r="D44" s="279"/>
      <c r="E44" s="279"/>
      <c r="F44" s="279"/>
      <c r="G44" s="279"/>
      <c r="H44" s="279"/>
      <c r="I44" s="21"/>
      <c r="J44" s="233"/>
      <c r="K44" s="390">
        <f>SUM(K24:L43)</f>
        <v>0</v>
      </c>
      <c r="L44" s="391"/>
      <c r="S44">
        <v>24</v>
      </c>
      <c r="T44" s="183">
        <v>92</v>
      </c>
      <c r="U44" s="184">
        <v>1138.9000000000001</v>
      </c>
      <c r="V44" s="190">
        <v>801.7</v>
      </c>
      <c r="W44" s="169">
        <f>V44*100/V67</f>
        <v>3.2175194879259736</v>
      </c>
      <c r="X44" s="186">
        <f>U44*100/V68</f>
        <v>2.2453594950868836</v>
      </c>
      <c r="Y44" s="37"/>
      <c r="Z44" s="183">
        <v>93</v>
      </c>
      <c r="AA44" s="189">
        <v>1135.5</v>
      </c>
      <c r="AB44" s="190">
        <v>801.7</v>
      </c>
      <c r="AC44" s="169">
        <f>AB44*100/AB55</f>
        <v>3.2175194879259736</v>
      </c>
      <c r="AD44" s="186">
        <f>AA44*100/AA55</f>
        <v>3.1963136131151599</v>
      </c>
    </row>
    <row r="45" spans="1:30">
      <c r="A45" s="21"/>
      <c r="B45" s="278" t="s">
        <v>241</v>
      </c>
      <c r="C45" s="279"/>
      <c r="D45" s="279"/>
      <c r="E45" s="279"/>
      <c r="F45" s="279"/>
      <c r="G45" s="279"/>
      <c r="H45" s="279"/>
      <c r="I45" s="21"/>
      <c r="J45" s="233"/>
      <c r="K45" s="373">
        <f>K44*0.14</f>
        <v>0</v>
      </c>
      <c r="L45" s="374"/>
      <c r="S45">
        <v>25</v>
      </c>
      <c r="T45" s="183">
        <v>93</v>
      </c>
      <c r="U45" s="189">
        <v>1135.5</v>
      </c>
      <c r="V45" s="185">
        <v>1140.2</v>
      </c>
      <c r="W45" s="169">
        <f>V45*100/V67</f>
        <v>4.5760455533655922</v>
      </c>
      <c r="X45" s="186">
        <f>U45*100/V68</f>
        <v>2.2386563409176889</v>
      </c>
      <c r="Y45" s="37"/>
      <c r="Z45" s="183">
        <v>98</v>
      </c>
      <c r="AA45" s="184">
        <v>1140.2</v>
      </c>
      <c r="AB45" s="185">
        <v>1140.2</v>
      </c>
      <c r="AC45" s="169">
        <f>AB45*100/AB55</f>
        <v>4.5760455533655922</v>
      </c>
      <c r="AD45" s="186">
        <f>AA45*100/AA55</f>
        <v>3.2095436210250159</v>
      </c>
    </row>
    <row r="46" spans="1:30" ht="15.75" thickBot="1">
      <c r="A46" s="21"/>
      <c r="B46" t="s">
        <v>286</v>
      </c>
      <c r="I46" s="105"/>
      <c r="K46" s="375">
        <f>SUM(K44:L45)</f>
        <v>0</v>
      </c>
      <c r="L46" s="376"/>
      <c r="S46">
        <v>26</v>
      </c>
      <c r="T46" s="183">
        <v>98</v>
      </c>
      <c r="U46" s="184">
        <v>1140.2</v>
      </c>
      <c r="V46" s="185">
        <v>1177.4000000000001</v>
      </c>
      <c r="W46" s="169">
        <f>V46*100/V67</f>
        <v>4.7253429525808182</v>
      </c>
      <c r="X46" s="186">
        <f>U46*100/V68</f>
        <v>2.2479224657986343</v>
      </c>
      <c r="Y46" s="37"/>
      <c r="Z46" s="183">
        <v>99</v>
      </c>
      <c r="AA46" s="184">
        <v>1139.5999999999999</v>
      </c>
      <c r="AB46" s="185">
        <v>1177.4000000000001</v>
      </c>
      <c r="AC46" s="169">
        <f>AB46*100/AB55</f>
        <v>4.7253429525808182</v>
      </c>
      <c r="AD46" s="186">
        <f>AA46*100/AA55</f>
        <v>3.2078546838450337</v>
      </c>
    </row>
    <row r="47" spans="1:30" ht="16.5" thickBot="1">
      <c r="A47" s="20"/>
      <c r="B47" s="22" t="s">
        <v>287</v>
      </c>
      <c r="C47" s="23"/>
      <c r="D47" s="23"/>
      <c r="E47" s="23"/>
      <c r="F47" s="23"/>
      <c r="G47" s="23"/>
      <c r="H47" s="24"/>
      <c r="I47" s="20"/>
      <c r="J47" s="20"/>
      <c r="K47" s="289">
        <f>K46+K23</f>
        <v>4059.5182052678429</v>
      </c>
      <c r="L47" s="290"/>
      <c r="S47">
        <v>27</v>
      </c>
      <c r="T47" s="183">
        <v>99</v>
      </c>
      <c r="U47" s="184">
        <v>1139.5999999999999</v>
      </c>
      <c r="V47" s="198"/>
      <c r="W47" s="169"/>
      <c r="X47" s="186">
        <f>U47*100/V68</f>
        <v>2.2467395562393642</v>
      </c>
      <c r="Y47" s="37"/>
      <c r="Z47" s="196">
        <v>70</v>
      </c>
      <c r="AA47" s="197">
        <v>1136.5999999999999</v>
      </c>
      <c r="AB47" s="198"/>
      <c r="AC47" s="169"/>
      <c r="AD47" s="186">
        <f>AA47*100/AA55</f>
        <v>3.1994099979451258</v>
      </c>
    </row>
    <row r="48" spans="1:30">
      <c r="A48" t="s">
        <v>23</v>
      </c>
      <c r="S48">
        <v>28</v>
      </c>
      <c r="T48" s="196">
        <v>70</v>
      </c>
      <c r="U48" s="197">
        <v>1136.5999999999999</v>
      </c>
      <c r="V48" s="198"/>
      <c r="W48" s="169"/>
      <c r="X48" s="186">
        <f>U48*100/V68</f>
        <v>2.2408250084430166</v>
      </c>
      <c r="Y48" s="37"/>
      <c r="Z48" s="199">
        <v>71</v>
      </c>
      <c r="AA48" s="197">
        <v>1132.9000000000001</v>
      </c>
      <c r="AB48" s="198"/>
      <c r="AC48" s="169"/>
      <c r="AD48" s="186">
        <f>AA48*100/AA55</f>
        <v>3.1889948853352399</v>
      </c>
    </row>
    <row r="49" spans="1:30">
      <c r="A49" t="s">
        <v>25</v>
      </c>
      <c r="D49" s="234">
        <f>I3</f>
        <v>2015</v>
      </c>
      <c r="E49" t="s">
        <v>26</v>
      </c>
      <c r="G49" s="26">
        <f>K47-G19</f>
        <v>-70418.001794732161</v>
      </c>
      <c r="H49" t="s">
        <v>27</v>
      </c>
      <c r="S49">
        <v>29</v>
      </c>
      <c r="T49" s="199">
        <v>71</v>
      </c>
      <c r="U49" s="197">
        <v>1132.9000000000001</v>
      </c>
      <c r="V49" s="198"/>
      <c r="W49" s="169"/>
      <c r="X49" s="186">
        <f>U49*100/V68</f>
        <v>2.233530399494188</v>
      </c>
      <c r="Y49" s="37"/>
      <c r="Z49" s="199">
        <v>72</v>
      </c>
      <c r="AA49" s="197">
        <v>1135.5999999999999</v>
      </c>
      <c r="AB49" s="198"/>
      <c r="AC49" s="169"/>
      <c r="AD49" s="186">
        <f>AA49*100/AA55</f>
        <v>3.1965951026451562</v>
      </c>
    </row>
    <row r="50" spans="1:30" ht="15.75" thickBot="1">
      <c r="A50" t="s">
        <v>28</v>
      </c>
      <c r="B50" s="234">
        <f>I3</f>
        <v>2015</v>
      </c>
      <c r="C50" t="s">
        <v>31</v>
      </c>
      <c r="S50">
        <v>30</v>
      </c>
      <c r="T50" s="199">
        <v>72</v>
      </c>
      <c r="U50" s="197">
        <v>1135.5999999999999</v>
      </c>
      <c r="V50" s="198"/>
      <c r="W50" s="169"/>
      <c r="X50" s="186">
        <f>U50*100/V68</f>
        <v>2.2388534925109003</v>
      </c>
      <c r="Y50" s="37"/>
      <c r="Z50" s="199">
        <v>73</v>
      </c>
      <c r="AA50" s="197">
        <v>1135.7</v>
      </c>
      <c r="AB50" s="198"/>
      <c r="AC50" s="169"/>
      <c r="AD50" s="186">
        <f>AA50*100/AA55</f>
        <v>3.1968765921751539</v>
      </c>
    </row>
    <row r="51" spans="1:30">
      <c r="A51" s="238" t="s">
        <v>2</v>
      </c>
      <c r="B51" s="291" t="s">
        <v>41</v>
      </c>
      <c r="C51" s="292"/>
      <c r="D51" s="292"/>
      <c r="E51" s="292"/>
      <c r="F51" s="291" t="s">
        <v>42</v>
      </c>
      <c r="G51" s="292"/>
      <c r="H51" s="293"/>
      <c r="I51" s="377" t="s">
        <v>43</v>
      </c>
      <c r="J51" s="378"/>
      <c r="K51" s="378"/>
      <c r="L51" s="379"/>
      <c r="S51">
        <v>31</v>
      </c>
      <c r="T51" s="199">
        <v>73</v>
      </c>
      <c r="U51" s="197">
        <v>1135.7</v>
      </c>
      <c r="V51" s="198"/>
      <c r="W51" s="169"/>
      <c r="X51" s="186">
        <f>U51*100/V68</f>
        <v>2.2390506441041125</v>
      </c>
      <c r="Y51" s="37"/>
      <c r="Z51" s="199">
        <v>76</v>
      </c>
      <c r="AA51" s="197">
        <v>1134.5</v>
      </c>
      <c r="AB51" s="198"/>
      <c r="AC51" s="169"/>
      <c r="AD51" s="186">
        <f>AA51*100/AA55</f>
        <v>3.1934987178151908</v>
      </c>
    </row>
    <row r="52" spans="1:30" ht="15.75" thickBot="1">
      <c r="A52" s="239"/>
      <c r="B52" s="297"/>
      <c r="C52" s="298"/>
      <c r="D52" s="298"/>
      <c r="E52" s="298"/>
      <c r="F52" s="297"/>
      <c r="G52" s="298"/>
      <c r="H52" s="299"/>
      <c r="I52" s="383" t="s">
        <v>244</v>
      </c>
      <c r="J52" s="384"/>
      <c r="K52" s="384"/>
      <c r="L52" s="385"/>
      <c r="S52">
        <v>32</v>
      </c>
      <c r="T52" s="199">
        <v>76</v>
      </c>
      <c r="U52" s="197">
        <v>1134.5</v>
      </c>
      <c r="V52" s="198"/>
      <c r="W52" s="169"/>
      <c r="X52" s="186">
        <f>U52*100/V68</f>
        <v>2.2366848249855731</v>
      </c>
      <c r="Y52" s="37"/>
      <c r="Z52" s="199">
        <v>77</v>
      </c>
      <c r="AA52" s="197">
        <v>1131</v>
      </c>
      <c r="AB52" s="198"/>
      <c r="AC52" s="169"/>
      <c r="AD52" s="186">
        <f>AA52*100/AA55</f>
        <v>3.1836465842652979</v>
      </c>
    </row>
    <row r="53" spans="1:30">
      <c r="A53" s="108" t="s">
        <v>34</v>
      </c>
      <c r="B53" s="295" t="s">
        <v>44</v>
      </c>
      <c r="C53" s="295"/>
      <c r="D53" s="295"/>
      <c r="E53" s="296"/>
      <c r="F53" s="281" t="s">
        <v>245</v>
      </c>
      <c r="G53" s="282"/>
      <c r="H53" s="283"/>
      <c r="I53" s="380" t="s">
        <v>246</v>
      </c>
      <c r="J53" s="381"/>
      <c r="K53" s="381"/>
      <c r="L53" s="382"/>
      <c r="S53">
        <v>33</v>
      </c>
      <c r="T53" s="199">
        <v>77</v>
      </c>
      <c r="U53" s="197">
        <v>1131</v>
      </c>
      <c r="V53" s="198"/>
      <c r="W53" s="169"/>
      <c r="X53" s="186">
        <f>U53*100/V68</f>
        <v>2.2297845192231671</v>
      </c>
      <c r="Y53" s="37"/>
      <c r="Z53" s="199">
        <v>78</v>
      </c>
      <c r="AA53" s="197">
        <v>1129</v>
      </c>
      <c r="AB53" s="198"/>
      <c r="AC53" s="169"/>
      <c r="AD53" s="186">
        <f>AA53*100/AA55</f>
        <v>3.1780167936653592</v>
      </c>
    </row>
    <row r="54" spans="1:30">
      <c r="A54" s="42" t="s">
        <v>35</v>
      </c>
      <c r="B54" s="279" t="s">
        <v>45</v>
      </c>
      <c r="C54" s="279"/>
      <c r="D54" s="279"/>
      <c r="E54" s="280"/>
      <c r="F54" s="286" t="s">
        <v>247</v>
      </c>
      <c r="G54" s="287"/>
      <c r="H54" s="288"/>
      <c r="I54" s="319" t="s">
        <v>51</v>
      </c>
      <c r="J54" s="320"/>
      <c r="K54" s="320"/>
      <c r="L54" s="321"/>
      <c r="S54">
        <v>34</v>
      </c>
      <c r="T54" s="199">
        <v>78</v>
      </c>
      <c r="U54" s="197">
        <v>1129</v>
      </c>
      <c r="V54" s="202"/>
      <c r="W54" s="194"/>
      <c r="X54" s="186">
        <f>U54*100/V68</f>
        <v>2.2258414873589354</v>
      </c>
      <c r="Y54" s="37"/>
      <c r="Z54" s="200">
        <v>79</v>
      </c>
      <c r="AA54" s="201">
        <v>1137</v>
      </c>
      <c r="AB54" s="202"/>
      <c r="AC54" s="194"/>
      <c r="AD54" s="203">
        <f>AA54*100/AA55</f>
        <v>3.2005359560651141</v>
      </c>
    </row>
    <row r="55" spans="1:30" ht="15.75" thickBot="1">
      <c r="A55" s="42" t="s">
        <v>36</v>
      </c>
      <c r="B55" s="279" t="s">
        <v>47</v>
      </c>
      <c r="C55" s="279"/>
      <c r="D55" s="279"/>
      <c r="E55" s="280"/>
      <c r="F55" s="286" t="s">
        <v>248</v>
      </c>
      <c r="G55" s="287"/>
      <c r="H55" s="288"/>
      <c r="I55" s="319" t="s">
        <v>249</v>
      </c>
      <c r="J55" s="320"/>
      <c r="K55" s="320"/>
      <c r="L55" s="321"/>
      <c r="S55">
        <v>35</v>
      </c>
      <c r="T55" s="200">
        <v>79</v>
      </c>
      <c r="U55" s="201">
        <v>1137</v>
      </c>
      <c r="V55" s="198"/>
      <c r="W55" s="169"/>
      <c r="X55" s="203">
        <f>U55*100/V68</f>
        <v>2.2416136148158632</v>
      </c>
      <c r="Y55" s="37"/>
      <c r="Z55" s="204"/>
      <c r="AA55" s="205">
        <f>SUM(AA21:AA54)</f>
        <v>35525.300000000003</v>
      </c>
      <c r="AB55" s="206">
        <f>SUM(AB21:AB46)</f>
        <v>24916.710000000003</v>
      </c>
      <c r="AC55" s="207">
        <f>SUM(AC21:AC46)</f>
        <v>99.999999999999972</v>
      </c>
      <c r="AD55" s="208">
        <f>SUM(AD21:AD54)</f>
        <v>100</v>
      </c>
    </row>
    <row r="56" spans="1:30">
      <c r="A56" s="42" t="s">
        <v>37</v>
      </c>
      <c r="B56" s="279" t="s">
        <v>48</v>
      </c>
      <c r="C56" s="279"/>
      <c r="D56" s="279"/>
      <c r="E56" s="280"/>
      <c r="F56" s="286" t="s">
        <v>250</v>
      </c>
      <c r="G56" s="287"/>
      <c r="H56" s="288"/>
      <c r="I56" s="319" t="s">
        <v>251</v>
      </c>
      <c r="J56" s="320"/>
      <c r="K56" s="320"/>
      <c r="L56" s="321"/>
      <c r="S56">
        <v>36</v>
      </c>
      <c r="T56" s="199">
        <v>80</v>
      </c>
      <c r="U56" s="197">
        <v>1128.8</v>
      </c>
      <c r="V56" s="198"/>
      <c r="W56" s="169"/>
      <c r="X56" s="203">
        <f>U56*100/V68</f>
        <v>2.2254471841725119</v>
      </c>
      <c r="Y56" s="37"/>
    </row>
    <row r="57" spans="1:30">
      <c r="A57" s="42" t="s">
        <v>38</v>
      </c>
      <c r="B57" s="279" t="s">
        <v>49</v>
      </c>
      <c r="C57" s="279"/>
      <c r="D57" s="279"/>
      <c r="E57" s="280"/>
      <c r="F57" s="286" t="s">
        <v>252</v>
      </c>
      <c r="G57" s="287"/>
      <c r="H57" s="288"/>
      <c r="I57" s="319" t="s">
        <v>253</v>
      </c>
      <c r="J57" s="320"/>
      <c r="K57" s="320"/>
      <c r="L57" s="321"/>
      <c r="S57">
        <v>37</v>
      </c>
      <c r="T57" s="199">
        <v>81</v>
      </c>
      <c r="U57" s="197">
        <v>1133.0999999999999</v>
      </c>
      <c r="V57" s="198"/>
      <c r="W57" s="169"/>
      <c r="X57" s="203">
        <f>U57*100/V68</f>
        <v>2.2339247026806106</v>
      </c>
    </row>
    <row r="58" spans="1:30" ht="15.75" thickBot="1">
      <c r="A58" s="109" t="s">
        <v>39</v>
      </c>
      <c r="B58" s="317" t="s">
        <v>50</v>
      </c>
      <c r="C58" s="317"/>
      <c r="D58" s="317"/>
      <c r="E58" s="318"/>
      <c r="F58" s="310" t="s">
        <v>254</v>
      </c>
      <c r="G58" s="311"/>
      <c r="H58" s="312"/>
      <c r="I58" s="386" t="s">
        <v>255</v>
      </c>
      <c r="J58" s="387"/>
      <c r="K58" s="387"/>
      <c r="L58" s="388"/>
      <c r="S58">
        <v>38</v>
      </c>
      <c r="T58" s="199">
        <v>74</v>
      </c>
      <c r="U58" s="197">
        <v>1129.2</v>
      </c>
      <c r="V58" s="198"/>
      <c r="W58" s="169"/>
      <c r="X58" s="203">
        <f>U58*100/V68</f>
        <v>2.2262357905453585</v>
      </c>
    </row>
    <row r="59" spans="1:30" ht="15.75" thickBot="1">
      <c r="A59" s="31" t="s">
        <v>40</v>
      </c>
      <c r="B59" s="316" t="s">
        <v>50</v>
      </c>
      <c r="C59" s="317"/>
      <c r="D59" s="317"/>
      <c r="E59" s="318"/>
      <c r="F59" s="310" t="s">
        <v>87</v>
      </c>
      <c r="G59" s="311"/>
      <c r="H59" s="312"/>
      <c r="I59" s="310" t="s">
        <v>88</v>
      </c>
      <c r="J59" s="311"/>
      <c r="K59" s="311"/>
      <c r="L59" s="312"/>
      <c r="S59">
        <v>39</v>
      </c>
      <c r="T59" s="199">
        <v>75</v>
      </c>
      <c r="U59" s="197">
        <v>1130.3</v>
      </c>
      <c r="V59" s="198"/>
      <c r="W59" s="169"/>
      <c r="X59" s="203">
        <f>U59*100/V68</f>
        <v>2.2284044580706861</v>
      </c>
    </row>
    <row r="60" spans="1:30">
      <c r="S60">
        <v>40</v>
      </c>
      <c r="T60" s="199">
        <v>89</v>
      </c>
      <c r="U60" s="197">
        <v>1133.3</v>
      </c>
      <c r="V60" s="198"/>
      <c r="W60" s="169"/>
      <c r="X60" s="203">
        <f>U60*100/V68</f>
        <v>2.2343190058670341</v>
      </c>
    </row>
    <row r="61" spans="1:30">
      <c r="A61" s="34" t="s">
        <v>55</v>
      </c>
      <c r="B61" s="234">
        <f>I3+1</f>
        <v>2016</v>
      </c>
      <c r="C61" t="s">
        <v>56</v>
      </c>
      <c r="S61">
        <v>41</v>
      </c>
      <c r="T61" s="199">
        <v>88</v>
      </c>
      <c r="U61" s="197">
        <v>1133.9000000000001</v>
      </c>
      <c r="V61" s="198"/>
      <c r="W61" s="169"/>
      <c r="X61" s="203">
        <f>U61*100/V68</f>
        <v>2.2355019154263038</v>
      </c>
    </row>
    <row r="62" spans="1:30">
      <c r="A62" s="235" t="s">
        <v>100</v>
      </c>
      <c r="S62">
        <v>42</v>
      </c>
      <c r="T62" s="199">
        <v>97</v>
      </c>
      <c r="U62" s="197">
        <v>1133.9000000000001</v>
      </c>
      <c r="V62" s="198"/>
      <c r="W62" s="169"/>
      <c r="X62" s="203">
        <f>U62*100/V68</f>
        <v>2.2355019154263038</v>
      </c>
    </row>
    <row r="63" spans="1:30">
      <c r="A63" s="235" t="s">
        <v>53</v>
      </c>
      <c r="F63" s="8">
        <f>H84</f>
        <v>0.64263539144039339</v>
      </c>
      <c r="G63" t="s">
        <v>54</v>
      </c>
      <c r="S63">
        <v>43</v>
      </c>
      <c r="T63" s="199">
        <v>96</v>
      </c>
      <c r="U63" s="197">
        <v>1127.5999999999999</v>
      </c>
      <c r="V63" s="198"/>
      <c r="W63" s="169"/>
      <c r="X63" s="203">
        <f>U63*100/V68</f>
        <v>2.2230813650539725</v>
      </c>
    </row>
    <row r="64" spans="1:30">
      <c r="A64" s="235" t="s">
        <v>92</v>
      </c>
      <c r="C64" s="41"/>
      <c r="G64" s="234"/>
      <c r="S64">
        <v>44</v>
      </c>
      <c r="T64" s="199">
        <v>126</v>
      </c>
      <c r="U64" s="197">
        <v>1127.0999999999999</v>
      </c>
      <c r="V64" s="198"/>
      <c r="W64" s="169"/>
      <c r="X64" s="203">
        <f>U64*100/V68</f>
        <v>2.2220956070879145</v>
      </c>
    </row>
    <row r="65" spans="1:25">
      <c r="A65" s="235" t="s">
        <v>96</v>
      </c>
      <c r="E65" s="234"/>
      <c r="K65" s="234"/>
      <c r="S65">
        <v>45</v>
      </c>
      <c r="T65" s="199">
        <v>104</v>
      </c>
      <c r="U65" s="197">
        <v>1128.2</v>
      </c>
      <c r="V65" s="198"/>
      <c r="W65" s="169"/>
      <c r="X65" s="203">
        <f>U65*100/V68</f>
        <v>2.2242642746132426</v>
      </c>
    </row>
    <row r="66" spans="1:25">
      <c r="A66" s="244" t="s">
        <v>93</v>
      </c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0"/>
      <c r="S66">
        <v>46</v>
      </c>
      <c r="T66" s="199">
        <v>125</v>
      </c>
      <c r="U66" s="197">
        <v>1138</v>
      </c>
      <c r="V66" s="198"/>
      <c r="W66" s="169"/>
      <c r="X66" s="203">
        <f>U66*100/V68</f>
        <v>2.2435851307479791</v>
      </c>
    </row>
    <row r="67" spans="1:25" ht="15.75" thickBot="1">
      <c r="A67" s="389" t="s">
        <v>94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S67">
        <v>47</v>
      </c>
      <c r="T67" s="199">
        <v>127</v>
      </c>
      <c r="U67" s="197">
        <v>1130.5</v>
      </c>
      <c r="V67" s="206">
        <f>SUM(V21:V46)</f>
        <v>24916.710000000003</v>
      </c>
      <c r="W67" s="207">
        <f>SUM(W21:W46)</f>
        <v>99.999999999999972</v>
      </c>
      <c r="X67" s="203">
        <f>U67*100/V68</f>
        <v>2.2287987612571092</v>
      </c>
    </row>
    <row r="68" spans="1:25" ht="15.75" thickBot="1">
      <c r="A68" s="389" t="s">
        <v>95</v>
      </c>
      <c r="B68" s="389"/>
      <c r="C68" s="389"/>
      <c r="D68" s="389"/>
      <c r="E68" s="389"/>
      <c r="F68" s="389"/>
      <c r="G68" s="389"/>
      <c r="H68" s="389"/>
      <c r="I68" s="389"/>
      <c r="J68" s="389"/>
      <c r="K68" s="389"/>
      <c r="L68" s="389"/>
      <c r="U68" s="205">
        <f>SUM(U21:U67)</f>
        <v>50722.390000000007</v>
      </c>
      <c r="V68" s="205">
        <f>SUM(U21:U67)</f>
        <v>50722.390000000007</v>
      </c>
      <c r="Y68" s="208">
        <f>SUM(X21:X67)</f>
        <v>99.999999999999957</v>
      </c>
    </row>
    <row r="69" spans="1:25">
      <c r="A69" s="244"/>
      <c r="B69" s="45"/>
      <c r="C69" s="45"/>
      <c r="D69" s="45"/>
      <c r="E69" s="45"/>
      <c r="F69" s="45"/>
      <c r="G69" s="45"/>
      <c r="H69" s="45"/>
      <c r="I69" s="45"/>
      <c r="J69" s="45"/>
      <c r="K69" s="45"/>
    </row>
    <row r="70" spans="1:25">
      <c r="A70" s="235" t="s">
        <v>57</v>
      </c>
      <c r="B70" s="234">
        <f>I3+1</f>
        <v>2016</v>
      </c>
      <c r="C70" t="s">
        <v>58</v>
      </c>
    </row>
    <row r="71" spans="1:25">
      <c r="A71" s="235" t="s">
        <v>59</v>
      </c>
    </row>
    <row r="72" spans="1:25">
      <c r="A72" s="241" t="s">
        <v>60</v>
      </c>
      <c r="B72" s="115"/>
      <c r="C72" s="115"/>
      <c r="D72" s="115"/>
      <c r="E72" s="115"/>
      <c r="F72" s="115"/>
      <c r="G72" s="115"/>
      <c r="H72" s="115"/>
      <c r="I72" s="115"/>
      <c r="J72" s="124">
        <v>15000</v>
      </c>
      <c r="K72" s="115" t="s">
        <v>10</v>
      </c>
      <c r="L72" s="115"/>
    </row>
    <row r="73" spans="1:25">
      <c r="A73" s="363" t="s">
        <v>91</v>
      </c>
      <c r="B73" s="363"/>
      <c r="C73" s="363"/>
      <c r="D73" s="363"/>
      <c r="E73" s="363"/>
      <c r="F73" s="115"/>
      <c r="G73" s="115"/>
      <c r="H73" s="115"/>
      <c r="I73" s="115"/>
      <c r="J73" s="124">
        <v>5000</v>
      </c>
      <c r="K73" s="115" t="s">
        <v>10</v>
      </c>
      <c r="L73" s="115"/>
    </row>
    <row r="74" spans="1:25">
      <c r="A74" s="241" t="s">
        <v>61</v>
      </c>
      <c r="B74" s="115"/>
      <c r="C74" s="115"/>
      <c r="D74" s="115"/>
      <c r="E74" s="115"/>
      <c r="F74" s="115"/>
      <c r="G74" s="115"/>
      <c r="H74" s="115"/>
      <c r="I74" s="115"/>
      <c r="J74" s="124">
        <v>1500</v>
      </c>
      <c r="K74" s="115" t="s">
        <v>10</v>
      </c>
      <c r="L74" s="115"/>
    </row>
    <row r="75" spans="1:25">
      <c r="A75" s="241" t="s">
        <v>89</v>
      </c>
      <c r="B75" s="115"/>
      <c r="C75" s="115"/>
      <c r="D75" s="115"/>
      <c r="E75" s="115"/>
      <c r="F75" s="115"/>
      <c r="G75" s="115"/>
      <c r="H75" s="115"/>
      <c r="I75" s="115"/>
      <c r="J75" s="124">
        <v>10000</v>
      </c>
      <c r="K75" s="115" t="s">
        <v>10</v>
      </c>
      <c r="L75" s="115"/>
    </row>
    <row r="76" spans="1:25">
      <c r="A76" s="241" t="s">
        <v>290</v>
      </c>
      <c r="B76" s="115"/>
      <c r="C76" s="115"/>
      <c r="D76" s="115"/>
      <c r="E76" s="115"/>
      <c r="F76" s="115"/>
      <c r="G76" s="115"/>
      <c r="H76" s="115"/>
      <c r="I76" s="115"/>
      <c r="J76" s="124">
        <v>1200</v>
      </c>
      <c r="K76" s="115" t="s">
        <v>10</v>
      </c>
      <c r="L76" s="115"/>
    </row>
    <row r="77" spans="1:25">
      <c r="A77" s="241" t="s">
        <v>291</v>
      </c>
      <c r="B77" s="115"/>
      <c r="C77" s="115"/>
      <c r="D77" s="115"/>
      <c r="E77" s="115"/>
      <c r="F77" s="115"/>
      <c r="G77" s="115"/>
      <c r="H77" s="115"/>
      <c r="I77" s="115"/>
      <c r="J77" s="124">
        <v>6000</v>
      </c>
      <c r="K77" s="115" t="s">
        <v>10</v>
      </c>
      <c r="L77" s="115"/>
    </row>
    <row r="78" spans="1:25">
      <c r="A78" s="235" t="s">
        <v>292</v>
      </c>
      <c r="B78" s="65"/>
      <c r="C78" s="65"/>
      <c r="D78" s="65"/>
      <c r="E78" s="65"/>
      <c r="F78" s="65"/>
      <c r="G78" s="65"/>
      <c r="H78" s="65"/>
      <c r="I78" s="65"/>
      <c r="J78" s="57">
        <v>20000</v>
      </c>
      <c r="K78" t="s">
        <v>10</v>
      </c>
      <c r="L78" s="115"/>
    </row>
    <row r="79" spans="1:25">
      <c r="A79" s="241" t="s">
        <v>62</v>
      </c>
      <c r="B79" s="115"/>
      <c r="C79" s="115"/>
      <c r="D79" s="115"/>
      <c r="E79" s="115"/>
      <c r="F79" s="115"/>
      <c r="G79" s="115"/>
      <c r="H79" s="115"/>
      <c r="I79" s="115"/>
      <c r="J79" s="124">
        <v>10000</v>
      </c>
      <c r="K79" s="115" t="s">
        <v>10</v>
      </c>
      <c r="L79" s="115"/>
    </row>
    <row r="80" spans="1:25">
      <c r="A80" s="241" t="s">
        <v>63</v>
      </c>
      <c r="B80" s="115"/>
      <c r="C80" s="115"/>
      <c r="D80" s="115"/>
      <c r="E80" s="115"/>
      <c r="F80" s="115"/>
      <c r="G80" s="115"/>
      <c r="H80" s="115"/>
      <c r="I80" s="115"/>
      <c r="J80" s="124">
        <v>10000</v>
      </c>
      <c r="K80" s="115" t="s">
        <v>10</v>
      </c>
      <c r="L80" s="115"/>
    </row>
    <row r="81" spans="1:12">
      <c r="A81" s="235" t="s">
        <v>293</v>
      </c>
      <c r="B81" s="65"/>
      <c r="C81" s="65"/>
      <c r="D81" s="65"/>
      <c r="E81" s="65"/>
      <c r="F81" s="65"/>
      <c r="G81" s="65"/>
      <c r="H81" s="65"/>
      <c r="I81" s="65"/>
      <c r="J81" s="57">
        <v>500</v>
      </c>
      <c r="K81" t="s">
        <v>10</v>
      </c>
      <c r="L81" s="115"/>
    </row>
    <row r="82" spans="1:12">
      <c r="A82" s="160" t="s">
        <v>64</v>
      </c>
      <c r="B82" s="115"/>
      <c r="C82" s="115"/>
      <c r="D82" s="115"/>
      <c r="E82" s="115"/>
      <c r="F82" s="115"/>
      <c r="G82" s="115"/>
      <c r="H82" s="115"/>
      <c r="I82" s="115"/>
      <c r="J82" s="129">
        <f>SUM(J72:J81)</f>
        <v>79200</v>
      </c>
      <c r="K82" s="161" t="s">
        <v>65</v>
      </c>
      <c r="L82" s="115"/>
    </row>
    <row r="83" spans="1:12">
      <c r="A83" s="241" t="s">
        <v>66</v>
      </c>
      <c r="B83" s="115"/>
      <c r="C83" s="115"/>
      <c r="D83" s="115"/>
      <c r="E83" s="115"/>
      <c r="F83" s="115"/>
      <c r="G83" s="115"/>
      <c r="H83" s="242">
        <f>I3</f>
        <v>2015</v>
      </c>
      <c r="I83" s="115" t="s">
        <v>74</v>
      </c>
      <c r="J83" s="115"/>
      <c r="K83" s="129">
        <f>G49</f>
        <v>-70418.001794732161</v>
      </c>
      <c r="L83" s="115"/>
    </row>
    <row r="84" spans="1:12">
      <c r="A84" s="241" t="s">
        <v>67</v>
      </c>
      <c r="B84" s="115"/>
      <c r="C84" s="151">
        <f>J82+K83</f>
        <v>8781.9982052678388</v>
      </c>
      <c r="D84" s="242" t="s">
        <v>68</v>
      </c>
      <c r="E84" s="162">
        <f>I3+1</f>
        <v>2016</v>
      </c>
      <c r="F84" s="115" t="s">
        <v>70</v>
      </c>
      <c r="G84" s="115"/>
      <c r="H84" s="156">
        <f>C84/(E5*12)</f>
        <v>0.64263539144039339</v>
      </c>
      <c r="I84" s="115" t="s">
        <v>71</v>
      </c>
      <c r="J84" s="115"/>
      <c r="K84" s="115"/>
      <c r="L84" s="115"/>
    </row>
    <row r="85" spans="1:12">
      <c r="A85" s="115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</row>
    <row r="86" spans="1:12">
      <c r="A86" s="115"/>
      <c r="B86" s="115" t="s">
        <v>72</v>
      </c>
      <c r="C86" s="115"/>
      <c r="D86" s="115"/>
      <c r="E86" s="115"/>
      <c r="F86" s="115"/>
      <c r="G86" s="115"/>
      <c r="H86" s="115"/>
      <c r="I86" s="115"/>
      <c r="J86" s="115"/>
      <c r="K86" s="115"/>
      <c r="L86" s="115"/>
    </row>
    <row r="87" spans="1:12">
      <c r="A87" s="115"/>
      <c r="B87" s="115" t="s">
        <v>42</v>
      </c>
      <c r="C87" s="115"/>
      <c r="D87" s="115"/>
      <c r="E87" s="115"/>
      <c r="F87" s="115"/>
      <c r="G87" s="115"/>
      <c r="H87" s="115"/>
      <c r="I87" s="115" t="s">
        <v>73</v>
      </c>
      <c r="J87" s="115"/>
      <c r="K87" s="115"/>
      <c r="L87" s="115"/>
    </row>
    <row r="88" spans="1:12">
      <c r="A88" s="115"/>
      <c r="B88" s="115"/>
      <c r="C88" s="115"/>
      <c r="D88" s="115"/>
      <c r="E88" s="115"/>
      <c r="F88" s="115"/>
      <c r="G88" s="115"/>
      <c r="H88" s="115"/>
      <c r="I88" s="115"/>
      <c r="J88" s="115"/>
      <c r="K88" s="116" t="s">
        <v>295</v>
      </c>
      <c r="L88" s="115"/>
    </row>
    <row r="89" spans="1:12">
      <c r="A89" s="364"/>
      <c r="B89" s="364"/>
      <c r="C89" s="364"/>
      <c r="D89" s="364"/>
      <c r="E89" s="364"/>
      <c r="F89" s="364"/>
      <c r="G89" s="364"/>
      <c r="H89" s="364"/>
      <c r="I89" s="364"/>
      <c r="J89" s="364"/>
      <c r="K89" s="364"/>
      <c r="L89" s="115"/>
    </row>
    <row r="93" spans="1:12">
      <c r="L93" s="43" t="s">
        <v>90</v>
      </c>
    </row>
  </sheetData>
  <mergeCells count="90">
    <mergeCell ref="A67:L67"/>
    <mergeCell ref="A68:L68"/>
    <mergeCell ref="A73:E73"/>
    <mergeCell ref="A89:K89"/>
    <mergeCell ref="E3:H3"/>
    <mergeCell ref="B58:E58"/>
    <mergeCell ref="F58:H58"/>
    <mergeCell ref="I58:L58"/>
    <mergeCell ref="B59:E59"/>
    <mergeCell ref="F59:H59"/>
    <mergeCell ref="I59:L59"/>
    <mergeCell ref="B56:E56"/>
    <mergeCell ref="F56:H56"/>
    <mergeCell ref="I56:L56"/>
    <mergeCell ref="B57:E57"/>
    <mergeCell ref="F57:H57"/>
    <mergeCell ref="I57:L57"/>
    <mergeCell ref="B54:E54"/>
    <mergeCell ref="F54:H54"/>
    <mergeCell ref="I54:L54"/>
    <mergeCell ref="B55:E55"/>
    <mergeCell ref="F55:H55"/>
    <mergeCell ref="I55:L55"/>
    <mergeCell ref="B52:E52"/>
    <mergeCell ref="F52:H52"/>
    <mergeCell ref="I52:L52"/>
    <mergeCell ref="B53:E53"/>
    <mergeCell ref="F53:H53"/>
    <mergeCell ref="I53:L53"/>
    <mergeCell ref="B45:H45"/>
    <mergeCell ref="K45:L45"/>
    <mergeCell ref="K46:L46"/>
    <mergeCell ref="K47:L47"/>
    <mergeCell ref="B51:E51"/>
    <mergeCell ref="F51:H51"/>
    <mergeCell ref="I51:L51"/>
    <mergeCell ref="B42:H42"/>
    <mergeCell ref="K42:L42"/>
    <mergeCell ref="B43:H43"/>
    <mergeCell ref="K43:L43"/>
    <mergeCell ref="B44:H44"/>
    <mergeCell ref="K44:L44"/>
    <mergeCell ref="B39:H39"/>
    <mergeCell ref="K39:L39"/>
    <mergeCell ref="B40:H40"/>
    <mergeCell ref="K40:L40"/>
    <mergeCell ref="B41:H41"/>
    <mergeCell ref="K41:L41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30:H30"/>
    <mergeCell ref="K30:L30"/>
    <mergeCell ref="B31:H31"/>
    <mergeCell ref="K31:L31"/>
    <mergeCell ref="B32:H32"/>
    <mergeCell ref="K32:L32"/>
    <mergeCell ref="B27:H27"/>
    <mergeCell ref="K27:L27"/>
    <mergeCell ref="B28:H28"/>
    <mergeCell ref="K28:L28"/>
    <mergeCell ref="B29:H29"/>
    <mergeCell ref="K29:L29"/>
    <mergeCell ref="B24:H24"/>
    <mergeCell ref="K24:L24"/>
    <mergeCell ref="B25:H25"/>
    <mergeCell ref="K25:L25"/>
    <mergeCell ref="B26:H26"/>
    <mergeCell ref="K26:L26"/>
    <mergeCell ref="B21:H21"/>
    <mergeCell ref="K21:L21"/>
    <mergeCell ref="B22:H22"/>
    <mergeCell ref="K22:L22"/>
    <mergeCell ref="B23:H23"/>
    <mergeCell ref="K23:L23"/>
    <mergeCell ref="A20:B20"/>
    <mergeCell ref="A1:L1"/>
    <mergeCell ref="S1:U1"/>
    <mergeCell ref="A2:L2"/>
    <mergeCell ref="A6:B6"/>
    <mergeCell ref="O7:Q7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2012</vt:lpstr>
      <vt:lpstr>2013</vt:lpstr>
      <vt:lpstr>2014</vt:lpstr>
      <vt:lpstr>2015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2015-03-27T12:32:55Z</dcterms:modified>
</cp:coreProperties>
</file>