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3" sheetId="2" r:id="rId1"/>
    <sheet name="2014" sheetId="3" r:id="rId2"/>
    <sheet name="2015" sheetId="4" r:id="rId3"/>
  </sheets>
  <calcPr calcId="125725"/>
</workbook>
</file>

<file path=xl/calcChain.xml><?xml version="1.0" encoding="utf-8"?>
<calcChain xmlns="http://schemas.openxmlformats.org/spreadsheetml/2006/main">
  <c r="H98" i="2"/>
  <c r="G14"/>
  <c r="G19"/>
  <c r="K24" i="4"/>
  <c r="K25" l="1"/>
  <c r="J84" i="3" l="1"/>
  <c r="K48" l="1"/>
  <c r="B64" l="1"/>
  <c r="K47"/>
  <c r="B65" i="4"/>
  <c r="E88"/>
  <c r="H87"/>
  <c r="J86"/>
  <c r="B78"/>
  <c r="B55"/>
  <c r="D54"/>
  <c r="A39"/>
  <c r="U31"/>
  <c r="V25" s="1"/>
  <c r="V24"/>
  <c r="K49"/>
  <c r="G18"/>
  <c r="G16"/>
  <c r="G15"/>
  <c r="G14"/>
  <c r="G13"/>
  <c r="J12" s="1"/>
  <c r="G6"/>
  <c r="I6" s="1"/>
  <c r="B5"/>
  <c r="A19" l="1"/>
  <c r="V29"/>
  <c r="V22"/>
  <c r="V28"/>
  <c r="V21"/>
  <c r="V26"/>
  <c r="K50"/>
  <c r="K51" s="1"/>
  <c r="V27"/>
  <c r="V23"/>
  <c r="K44" i="3"/>
  <c r="K42"/>
  <c r="K41"/>
  <c r="G19"/>
  <c r="K37" l="1"/>
  <c r="K36"/>
  <c r="K35"/>
  <c r="G15" i="2" l="1"/>
  <c r="G16"/>
  <c r="G17"/>
  <c r="K33" i="3" l="1"/>
  <c r="K31" l="1"/>
  <c r="K30" l="1"/>
  <c r="K28" l="1"/>
  <c r="U32"/>
  <c r="V28" s="1"/>
  <c r="V23" l="1"/>
  <c r="V27"/>
  <c r="V30"/>
  <c r="V25"/>
  <c r="V29"/>
  <c r="V22"/>
  <c r="V26"/>
  <c r="V24"/>
  <c r="J96" i="2" l="1"/>
  <c r="K58"/>
  <c r="G7" l="1"/>
  <c r="K48" l="1"/>
  <c r="K39" l="1"/>
  <c r="K25" l="1"/>
  <c r="K49"/>
  <c r="K43" l="1"/>
  <c r="K45" l="1"/>
  <c r="K26" i="3" l="1"/>
  <c r="K25" l="1"/>
  <c r="K24" l="1"/>
  <c r="K49" s="1"/>
  <c r="K50" l="1"/>
  <c r="K51" s="1"/>
  <c r="E86"/>
  <c r="H85"/>
  <c r="B71"/>
  <c r="B55"/>
  <c r="D54"/>
  <c r="G17"/>
  <c r="G16"/>
  <c r="G15"/>
  <c r="G14"/>
  <c r="G7"/>
  <c r="I7" s="1"/>
  <c r="B6"/>
  <c r="K35" i="2"/>
  <c r="K34"/>
  <c r="J13" i="3" l="1"/>
  <c r="A20"/>
  <c r="K41" i="2"/>
  <c r="K40"/>
  <c r="K50" l="1"/>
  <c r="K59" l="1"/>
  <c r="K56"/>
  <c r="K55" l="1"/>
  <c r="K53"/>
  <c r="K52"/>
  <c r="K51"/>
  <c r="K47"/>
  <c r="K46"/>
  <c r="K44"/>
  <c r="K33"/>
  <c r="K31"/>
  <c r="K60" s="1"/>
  <c r="E98"/>
  <c r="H97"/>
  <c r="B86"/>
  <c r="B66"/>
  <c r="D65"/>
  <c r="I7"/>
  <c r="B6"/>
  <c r="A20" l="1"/>
  <c r="K61" l="1"/>
  <c r="K62" s="1"/>
  <c r="K63" s="1"/>
  <c r="G65" l="1"/>
  <c r="K23" i="3" l="1"/>
  <c r="K97" i="2"/>
  <c r="C98" s="1"/>
  <c r="F79" s="1"/>
  <c r="K52" i="3" l="1"/>
  <c r="G54" s="1"/>
  <c r="K85" l="1"/>
  <c r="C86" s="1"/>
  <c r="H86" s="1"/>
  <c r="F66" s="1"/>
  <c r="K22" i="4"/>
  <c r="K52" s="1"/>
  <c r="G54" s="1"/>
  <c r="K87" s="1"/>
  <c r="C88" s="1"/>
  <c r="H88" s="1"/>
</calcChain>
</file>

<file path=xl/sharedStrings.xml><?xml version="1.0" encoding="utf-8"?>
<sst xmlns="http://schemas.openxmlformats.org/spreadsheetml/2006/main" count="596" uniqueCount="249">
  <si>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</si>
  <si>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</si>
  <si>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</si>
  <si>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</si>
  <si>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</si>
  <si>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 xml:space="preserve"> рубля,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</si>
  <si>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</si>
  <si>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</si>
  <si>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</si>
  <si>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</si>
  <si>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</si>
  <si>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</si>
  <si>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</si>
  <si>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</si>
  <si>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</si>
  <si>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</si>
  <si>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</si>
  <si>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</si>
  <si>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</si>
  <si>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</si>
  <si>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</si>
  <si>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Перерасход (+) или экономия (-) средств текущего ремонта общего имущества многоквартирного дома по </t>
  </si>
  <si>
    <t>год.</t>
  </si>
  <si>
    <t>состоянию  на   31  декабря</t>
  </si>
  <si>
    <t xml:space="preserve">года составляет </t>
  </si>
  <si>
    <t>рубля.</t>
  </si>
  <si>
    <t>5.    В</t>
  </si>
  <si>
    <t xml:space="preserve">1.   В </t>
  </si>
  <si>
    <t>г.   по дому</t>
  </si>
  <si>
    <t xml:space="preserve">году начисление платы за содержание, ремонт и коммунальные услуги производилось </t>
  </si>
  <si>
    <t>3.  Соответственно,  компания  имеет  задолженность  перед  поставщиками  услуг</t>
  </si>
  <si>
    <t>рублей: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</si>
  <si>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</si>
  <si>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</si>
  <si>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</si>
  <si>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</si>
  <si>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</si>
  <si>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</si>
  <si>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</si>
  <si>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</si>
  <si>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</si>
  <si>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( ОАО "Южное управление")</t>
  </si>
  <si>
    <t>Содержание общего имущества.</t>
  </si>
  <si>
    <t>Текущий ремонт общего имущества.</t>
  </si>
  <si>
    <t>Горячее водоснабжение.</t>
  </si>
  <si>
    <t>Холодное водоснабжение.</t>
  </si>
  <si>
    <t>Водоотведение.</t>
  </si>
  <si>
    <t>4,74 руб./м²</t>
  </si>
  <si>
    <t xml:space="preserve"> - содержание общедомовых приборов учета - 1,09 рубля с кв.метра в месяц;</t>
  </si>
  <si>
    <t xml:space="preserve"> - текущий ремонт общего имущества -</t>
  </si>
  <si>
    <t>рубля с кв.метра в месяц;</t>
  </si>
  <si>
    <t>В</t>
  </si>
  <si>
    <t>году (с 1 января) предлагается следующая плата за содержание и ремонт общего имущества:</t>
  </si>
  <si>
    <t>6.      В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</si>
  <si>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</si>
  <si>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</si>
  <si>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</si>
  <si>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</si>
  <si>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</si>
  <si>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</si>
  <si>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</si>
  <si>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</si>
  <si>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t xml:space="preserve">          Что  с  учетом  перерасхода (+)   или   экономии (-)  средств    в </t>
  </si>
  <si>
    <t xml:space="preserve">          составит </t>
  </si>
  <si>
    <t>на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</si>
  <si>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</si>
  <si>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 xml:space="preserve">год ,       или </t>
  </si>
  <si>
    <t>рубля с кв.метра в месяц.</t>
  </si>
  <si>
    <t>Директор</t>
  </si>
  <si>
    <t>А.Б. Хлебников</t>
  </si>
  <si>
    <t>году   в   размере</t>
  </si>
  <si>
    <t>рубля),     направлена на следующие мероприятия:</t>
  </si>
  <si>
    <r>
      <t>оф.</t>
    </r>
    <r>
      <rPr>
        <b/>
        <sz val="11"/>
        <color theme="1"/>
        <rFont val="Calibri"/>
        <family val="2"/>
        <charset val="204"/>
        <scheme val="minor"/>
      </rPr>
      <t xml:space="preserve"> 2 </t>
    </r>
    <r>
      <rPr>
        <sz val="11"/>
        <color theme="1"/>
        <rFont val="Calibri"/>
        <family val="2"/>
        <charset val="204"/>
        <scheme val="minor"/>
      </rPr>
      <t xml:space="preserve">- 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</si>
  <si>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5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</si>
  <si>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16 -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</si>
  <si>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 xml:space="preserve">27 -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</si>
  <si>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22 - 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</si>
  <si>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13</t>
    </r>
    <r>
      <rPr>
        <sz val="11"/>
        <color theme="1"/>
        <rFont val="Calibri"/>
        <family val="2"/>
        <charset val="204"/>
        <scheme val="minor"/>
      </rPr>
      <t xml:space="preserve"> -                  </t>
    </r>
  </si>
  <si>
    <t xml:space="preserve">  -  передача наружных инженерных сетей</t>
  </si>
  <si>
    <t xml:space="preserve">  -  чистка кровли от снега</t>
  </si>
  <si>
    <t>в том числе (имеющие значительную задолженность):</t>
  </si>
  <si>
    <t>2. Задолженность жителей по квартплате и коммунальным   услугам  составляет:</t>
  </si>
  <si>
    <t xml:space="preserve">   рублей        (</t>
  </si>
  <si>
    <t xml:space="preserve"> (</t>
  </si>
  <si>
    <t>Перерасход (+) или экономия (-) средств в 2012 году.</t>
  </si>
  <si>
    <t xml:space="preserve">ул. Мамина - Сибиряка    за </t>
  </si>
  <si>
    <t>Аварийная замена компенсатора ХВС и ГВС ø28 в кв.13</t>
  </si>
  <si>
    <t>Комната для уборщицы под лестницей</t>
  </si>
  <si>
    <t>Авар.замена компенсаторов на стояках ХВСи гвс ø22 в кв.23</t>
  </si>
  <si>
    <t>Уборка снега с кровли</t>
  </si>
  <si>
    <t>Вывоз снега с  придомовой територии в феврале</t>
  </si>
  <si>
    <t xml:space="preserve">Изготовление и монтаж ограждения </t>
  </si>
  <si>
    <t>Генеральная уборка в мае</t>
  </si>
  <si>
    <t>Замена компенсатора на стояке ГВС ø 28 в кв. 13</t>
  </si>
  <si>
    <t>Замена компенсатора на стояке ГВС ø 22 в кв. 23</t>
  </si>
  <si>
    <t>Ежегодное  тех. освидетельствование лифта</t>
  </si>
  <si>
    <t>шт.</t>
  </si>
  <si>
    <t>м/час</t>
  </si>
  <si>
    <t>м</t>
  </si>
  <si>
    <t>Ремонт освещения: замена светильников в подъезде и над подъездом</t>
  </si>
  <si>
    <t>Окраска дверей мусоропровода за 1 раз.</t>
  </si>
  <si>
    <t>т.</t>
  </si>
  <si>
    <t>Доска для объявлений в подъезде.</t>
  </si>
  <si>
    <t>Генеральная уборка в сентябре.</t>
  </si>
  <si>
    <r>
      <t>м</t>
    </r>
    <r>
      <rPr>
        <sz val="11"/>
        <color theme="1"/>
        <rFont val="Calibri"/>
        <family val="2"/>
        <charset val="204"/>
      </rPr>
      <t>²</t>
    </r>
  </si>
  <si>
    <t xml:space="preserve"> - содержание общего имущества - 15,64 рубля с кв.метра общей площади в месяц;</t>
  </si>
  <si>
    <t xml:space="preserve"> - отопление - </t>
  </si>
  <si>
    <t>рубля с кв.метра или -</t>
  </si>
  <si>
    <r>
      <t>Гкал/м</t>
    </r>
    <r>
      <rPr>
        <sz val="11"/>
        <color theme="1"/>
        <rFont val="Calibri"/>
        <family val="2"/>
        <charset val="204"/>
      </rPr>
      <t>² (ежемесячно равными долями,</t>
    </r>
  </si>
  <si>
    <t xml:space="preserve"> исходя из объемов потребления в</t>
  </si>
  <si>
    <t>году, с последующим перерасчетом по окончании</t>
  </si>
  <si>
    <t>г.);</t>
  </si>
  <si>
    <t xml:space="preserve"> - плата   за   горячее  и  холодное  водоснабжение ,  водоотведение ,  электроснабжение   будет   начисляться</t>
  </si>
  <si>
    <t xml:space="preserve">   согласно   Постановления   Правительства   РФ   № 354   от  06 мая 2011 года  (Ежемесячно, согласно показаний</t>
  </si>
  <si>
    <t xml:space="preserve">   общедомовых   и   индивидуальных  приборов  учета.   При   отсутствии  индивидуальных  приборов  учета по </t>
  </si>
  <si>
    <t xml:space="preserve">   новым нормативам, введенным с 01 января 2013 года Приказом № 7-мпр от 27 августа 2012 года. ).</t>
  </si>
  <si>
    <t xml:space="preserve">         При этом в  2013 году вводится оплата за коммунальные услуги на общедомовые нужды.</t>
  </si>
  <si>
    <t>Модернизация системы видеонаблюдения.</t>
  </si>
  <si>
    <t>Инструкция в лифт "Правила пользования лифтом".</t>
  </si>
  <si>
    <t>Монтаж охранной сигнализации в ИТП (50%).</t>
  </si>
  <si>
    <t>Замена фильтра в ИТП (50%).</t>
  </si>
  <si>
    <t>Установка новогодней елки</t>
  </si>
  <si>
    <t>Уборка снега с кровли.</t>
  </si>
  <si>
    <t>мес.</t>
  </si>
  <si>
    <t>Монтаж информационной доски для объявлений в подъезде.</t>
  </si>
  <si>
    <t>Замена манометров в ИТП (50%).</t>
  </si>
  <si>
    <t>Замена термометров в ИТП (50%).</t>
  </si>
  <si>
    <t>Счет № УТ-455 от 7. 02. 2014г.</t>
  </si>
  <si>
    <t>Устройство мастерской (10,85%)</t>
  </si>
  <si>
    <t>Тех. обслуживание лифта.</t>
  </si>
  <si>
    <t>Благоустройство территории (чернозем)7,6%</t>
  </si>
  <si>
    <t>Благоустройство территории (песок)7,6%</t>
  </si>
  <si>
    <t>Прочистка, промывка канализации КК-9,КК-10 (13,8%)</t>
  </si>
  <si>
    <t>Установка водослива.</t>
  </si>
  <si>
    <t>Монтаж доводчика на двери.</t>
  </si>
  <si>
    <t>Аварийная чистка канализации КК - 42,43 от 24.01.13 (13,9%)</t>
  </si>
  <si>
    <t xml:space="preserve">Уборка строительного и бытового мусора на территории. </t>
  </si>
  <si>
    <t xml:space="preserve">Замена аварийного насоса ГВС (50%). </t>
  </si>
  <si>
    <t>Бетонирование площадки для лестничного перехода между домами  №6 и №8.</t>
  </si>
  <si>
    <t>Управление МКД (14%)</t>
  </si>
  <si>
    <t>Замена счетчика холодной воды (24,47%).</t>
  </si>
  <si>
    <t>Окраска малых форм на детской плдощадке(13,8%).</t>
  </si>
  <si>
    <t>Изготовление и установка детской качели на детской площадке (13,8%)</t>
  </si>
  <si>
    <t>Всего в 2013году:</t>
  </si>
  <si>
    <t>ИТОГО за 2013год:</t>
  </si>
  <si>
    <t>ИТОГО на 31.12.2013г:</t>
  </si>
  <si>
    <t>18,50 руб./м²</t>
  </si>
  <si>
    <t>Отопление</t>
  </si>
  <si>
    <t>0,019 Гкал/м</t>
  </si>
  <si>
    <t>0,027 Гкал/м</t>
  </si>
  <si>
    <t>251,15 руб./чел.</t>
  </si>
  <si>
    <t>301,44 руб./чел.</t>
  </si>
  <si>
    <t>59,76 руб./чел.</t>
  </si>
  <si>
    <t>74,71 руб./чел.</t>
  </si>
  <si>
    <t>93,46 руб./чел.</t>
  </si>
  <si>
    <t>116,82 руб./чел.</t>
  </si>
  <si>
    <r>
      <t>м</t>
    </r>
    <r>
      <rPr>
        <sz val="11"/>
        <rFont val="Calibri"/>
        <family val="2"/>
        <charset val="204"/>
      </rPr>
      <t>²) начислено за содержание, ремонт и коммунальные услуги: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</si>
  <si>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 xml:space="preserve">3 </t>
    </r>
    <r>
      <rPr>
        <sz val="11"/>
        <rFont val="Calibri"/>
        <family val="2"/>
        <charset val="204"/>
        <scheme val="minor"/>
      </rPr>
      <t xml:space="preserve">- 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</si>
  <si>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9 -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</si>
  <si>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32 -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</si>
  <si>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>6</t>
    </r>
    <r>
      <rPr>
        <sz val="11"/>
        <rFont val="Calibri"/>
        <family val="2"/>
        <charset val="204"/>
        <scheme val="minor"/>
      </rPr>
      <t xml:space="preserve"> -              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</si>
  <si>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19 - 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</si>
  <si>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36 - 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</si>
  <si>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>7</t>
    </r>
    <r>
      <rPr>
        <sz val="11"/>
        <rFont val="Calibri"/>
        <family val="2"/>
        <charset val="204"/>
        <scheme val="minor"/>
      </rPr>
      <t xml:space="preserve"> -                  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</si>
  <si>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 xml:space="preserve">22 - 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</si>
  <si>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 xml:space="preserve">38 - </t>
    </r>
  </si>
  <si>
    <r>
      <t>м</t>
    </r>
    <r>
      <rPr>
        <sz val="11"/>
        <rFont val="Calibri"/>
        <family val="2"/>
        <charset val="204"/>
      </rPr>
      <t>²</t>
    </r>
  </si>
  <si>
    <r>
      <t>м</t>
    </r>
    <r>
      <rPr>
        <sz val="11"/>
        <rFont val="Calibri"/>
        <family val="2"/>
        <charset val="204"/>
      </rPr>
      <t>³</t>
    </r>
  </si>
  <si>
    <r>
      <t>15,64 руб./м</t>
    </r>
    <r>
      <rPr>
        <sz val="11"/>
        <rFont val="Calibri"/>
        <family val="2"/>
        <charset val="204"/>
      </rPr>
      <t>²</t>
    </r>
  </si>
  <si>
    <r>
      <t>4,74 руб./м</t>
    </r>
    <r>
      <rPr>
        <sz val="11"/>
        <rFont val="Calibri"/>
        <family val="2"/>
        <charset val="204"/>
      </rPr>
      <t>²</t>
    </r>
  </si>
  <si>
    <t>М-С 6(I)</t>
  </si>
  <si>
    <t>Обслуживание системы видеонаблюдения</t>
  </si>
  <si>
    <t xml:space="preserve">  -  обслуживание системы видеонаблюдения</t>
  </si>
  <si>
    <t xml:space="preserve"> -   генеральная уборка подъезда</t>
  </si>
  <si>
    <t>( ОАО "Западное управление")</t>
  </si>
  <si>
    <t>Счет № 153 от 03,03,2014г</t>
  </si>
  <si>
    <t>в М. С. 2</t>
  </si>
  <si>
    <t>Счет № 89 от 22,01,2014г</t>
  </si>
  <si>
    <t>М-С 2</t>
  </si>
  <si>
    <t>М-С 4</t>
  </si>
  <si>
    <t>М-С 6</t>
  </si>
  <si>
    <t>М-С 8</t>
  </si>
  <si>
    <t>М-С 10</t>
  </si>
  <si>
    <t xml:space="preserve">М-С 12-1 </t>
  </si>
  <si>
    <t>М-С 12-2</t>
  </si>
  <si>
    <t>М-С 12-3</t>
  </si>
  <si>
    <t>М-С 12-4</t>
  </si>
  <si>
    <t>Счет № 150 от 03,03,2014г</t>
  </si>
  <si>
    <t>акт  февраль</t>
  </si>
  <si>
    <t>Счет № 50</t>
  </si>
  <si>
    <t>от 27 марта 2014г</t>
  </si>
  <si>
    <t>Ремонт водосточных труб (13,90%)</t>
  </si>
  <si>
    <t>Сброс снега между домами с арок (балконов)</t>
  </si>
  <si>
    <t>Генеральная уборка в апреле</t>
  </si>
  <si>
    <t>акт вып работ  апрель 2014</t>
  </si>
  <si>
    <t>Всего в 2014году:</t>
  </si>
  <si>
    <t>ИТОГО за 2014год:</t>
  </si>
  <si>
    <t>ИТОГО на 31.12.2014г:</t>
  </si>
  <si>
    <t>раб.</t>
  </si>
  <si>
    <t>Устройство насыпи (предотвращение проезда автотранспорта в рощу)(13,90%)</t>
  </si>
  <si>
    <t>Монтаж ковриков в подъезде.</t>
  </si>
  <si>
    <t>акт выполненных работ 28,03,2014</t>
  </si>
  <si>
    <t>акт выполненных работ август 2014</t>
  </si>
  <si>
    <t>счет № 236 от 28,10,2014</t>
  </si>
  <si>
    <t>Генеральная уборка в августе.</t>
  </si>
  <si>
    <t>Монтаж греющего кабеля на кровле.</t>
  </si>
  <si>
    <t>акт выполненных работ ноябрь 2014</t>
  </si>
  <si>
    <t>Передача бесхозных сетей тепловой энергии</t>
  </si>
  <si>
    <t xml:space="preserve"> - </t>
  </si>
  <si>
    <t>Техническое освидетельствование лифта.</t>
  </si>
  <si>
    <t>Перерасход (+) или экономия (-) средств в 2014 году.</t>
  </si>
  <si>
    <t>Всего в 2015году:</t>
  </si>
  <si>
    <t>ИТОГО за 2015год:</t>
  </si>
  <si>
    <t>ИТОГО на 31.12.2015г:</t>
  </si>
  <si>
    <t>Перерасход (+) или экономия (-) средств в 2013 году.</t>
  </si>
  <si>
    <t xml:space="preserve">1. В </t>
  </si>
  <si>
    <t xml:space="preserve">   рублей (</t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</si>
  <si>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</si>
  <si>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</si>
  <si>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rPr>
        <sz val="11"/>
        <rFont val="Calibri"/>
        <family val="2"/>
        <charset val="204"/>
        <scheme val="minor"/>
      </rPr>
      <t xml:space="preserve">кв. </t>
    </r>
    <r>
      <rPr>
        <b/>
        <sz val="11"/>
        <rFont val="Calibri"/>
        <family val="2"/>
        <charset val="204"/>
        <scheme val="minor"/>
      </rPr>
      <t xml:space="preserve"> 9  -</t>
    </r>
  </si>
  <si>
    <t>Уборка и вывоз снега с придомовой территории в январе (13,90%)</t>
  </si>
  <si>
    <t>Уборка и вывоз снега с придомовой территории в марте (13,90%)</t>
  </si>
  <si>
    <t>Благоустройство территории (завоз чернозема)(13,90%)</t>
  </si>
  <si>
    <t>Благоустройство территории (завоз песка)(13,90%)</t>
  </si>
  <si>
    <t>Монтаж оборудования для электроснабжения ИТП(13,9%)</t>
  </si>
  <si>
    <t>Замена светильников, выключателя 10эт., плафона на 3 этаже.</t>
  </si>
  <si>
    <t>акт выполненных работ от 24 .02. 2014г</t>
  </si>
  <si>
    <t>акт выполненных работ  май 2014г</t>
  </si>
  <si>
    <t>акт выполненных работ от 06,06,2014</t>
  </si>
  <si>
    <t>Программирование ключей.</t>
  </si>
  <si>
    <t>Замена патронов в светильниках, монтаж энергосберегающих ламп.</t>
  </si>
  <si>
    <t>Изготовление и монтаж парковочных столбиков</t>
  </si>
  <si>
    <t>акт выполненных работ декабрь 2014</t>
  </si>
  <si>
    <t xml:space="preserve">  -  монтаж греющего кабеля на водосточную систему</t>
  </si>
  <si>
    <t xml:space="preserve">  - монтаж снегозадерживающих устройств на кровле </t>
  </si>
  <si>
    <t xml:space="preserve">  - ремонт подъезда</t>
  </si>
  <si>
    <t xml:space="preserve"> - приобретение и украшение новогодней елки</t>
  </si>
  <si>
    <t xml:space="preserve"> - организация новогоднего праздника</t>
  </si>
  <si>
    <t>АВР 12,10,2014</t>
  </si>
  <si>
    <t>Монтаж снегозадержания на двух скатах кровли.</t>
  </si>
  <si>
    <t>6      (</t>
  </si>
  <si>
    <t>Накладные расходы (14%)</t>
  </si>
  <si>
    <t>АВР от 11,03,15, СЧЕТ акт фото</t>
  </si>
  <si>
    <t>Счет №12 от 24,02,15</t>
  </si>
  <si>
    <t>счет №51 от 27,02,15  №71 от 30,03,2015</t>
  </si>
  <si>
    <t>Уборка и вывоз снега с придомовой территории в марте (13,90%).</t>
  </si>
  <si>
    <t>Монтаж решетки с дверью на 10 этаже (выход на чердак).</t>
  </si>
  <si>
    <t>Генеральная уборка в апреле.</t>
  </si>
  <si>
    <t>АВР от  апреля 2015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</si>
</sst>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6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0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/>
    <xf numFmtId="0" fontId="0" fillId="0" borderId="3" xfId="0" applyBorder="1"/>
    <xf numFmtId="0" fontId="0" fillId="0" borderId="10" xfId="0" applyBorder="1" applyAlignment="1">
      <alignment horizontal="center"/>
    </xf>
    <xf numFmtId="4" fontId="0" fillId="0" borderId="0" xfId="0" applyNumberFormat="1"/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0" fillId="0" borderId="10" xfId="0" applyFill="1" applyBorder="1" applyAlignment="1">
      <alignment horizontal="center"/>
    </xf>
    <xf numFmtId="4" fontId="0" fillId="0" borderId="0" xfId="0" applyNumberFormat="1" applyFill="1"/>
    <xf numFmtId="0" fontId="0" fillId="0" borderId="0" xfId="0" applyFill="1" applyBorder="1"/>
    <xf numFmtId="0" fontId="8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Fill="1"/>
    <xf numFmtId="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10" xfId="0" applyFont="1" applyFill="1" applyBorder="1" applyAlignment="1">
      <alignment horizontal="center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/>
    <xf numFmtId="0" fontId="7" fillId="0" borderId="0" xfId="0" applyFont="1" applyFill="1"/>
    <xf numFmtId="0" fontId="10" fillId="0" borderId="0" xfId="0" applyFont="1" applyFill="1" applyAlignment="1">
      <alignment horizontal="left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right"/>
    </xf>
    <xf numFmtId="4" fontId="11" fillId="0" borderId="0" xfId="0" applyNumberFormat="1" applyFont="1" applyFill="1"/>
    <xf numFmtId="4" fontId="7" fillId="0" borderId="0" xfId="0" applyNumberFormat="1" applyFont="1" applyFill="1" applyAlignment="1"/>
    <xf numFmtId="4" fontId="13" fillId="0" borderId="0" xfId="0" applyNumberFormat="1" applyFont="1" applyFill="1"/>
    <xf numFmtId="2" fontId="11" fillId="0" borderId="0" xfId="0" applyNumberFormat="1" applyFont="1" applyFill="1" applyAlignment="1">
      <alignment horizontal="center"/>
    </xf>
    <xf numFmtId="4" fontId="7" fillId="0" borderId="0" xfId="0" applyNumberFormat="1" applyFont="1" applyFill="1"/>
    <xf numFmtId="0" fontId="11" fillId="0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4" fontId="10" fillId="0" borderId="0" xfId="0" applyNumberFormat="1" applyFont="1" applyFill="1" applyAlignment="1">
      <alignment horizontal="left"/>
    </xf>
    <xf numFmtId="0" fontId="12" fillId="0" borderId="0" xfId="0" applyFont="1" applyFill="1" applyAlignment="1">
      <alignment horizontal="center"/>
    </xf>
    <xf numFmtId="0" fontId="7" fillId="0" borderId="0" xfId="0" applyFont="1" applyFill="1" applyAlignment="1"/>
    <xf numFmtId="4" fontId="14" fillId="0" borderId="0" xfId="0" applyNumberFormat="1" applyFont="1" applyFill="1"/>
    <xf numFmtId="0" fontId="12" fillId="0" borderId="0" xfId="0" applyFont="1" applyFill="1" applyAlignment="1">
      <alignment horizontal="left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11" fillId="0" borderId="2" xfId="0" applyFont="1" applyFill="1" applyBorder="1" applyAlignment="1">
      <alignment horizontal="center"/>
    </xf>
    <xf numFmtId="0" fontId="11" fillId="0" borderId="2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9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center" vertical="center"/>
    </xf>
    <xf numFmtId="4" fontId="7" fillId="0" borderId="1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2" xfId="0" applyFont="1" applyFill="1" applyBorder="1"/>
    <xf numFmtId="0" fontId="7" fillId="0" borderId="3" xfId="0" applyFont="1" applyFill="1" applyBorder="1"/>
    <xf numFmtId="0" fontId="11" fillId="0" borderId="13" xfId="0" applyFont="1" applyFill="1" applyBorder="1" applyAlignment="1"/>
    <xf numFmtId="0" fontId="11" fillId="0" borderId="14" xfId="0" applyFont="1" applyFill="1" applyBorder="1" applyAlignment="1"/>
    <xf numFmtId="0" fontId="11" fillId="0" borderId="15" xfId="0" applyFont="1" applyFill="1" applyBorder="1" applyAlignment="1"/>
    <xf numFmtId="4" fontId="11" fillId="0" borderId="0" xfId="0" applyNumberFormat="1" applyFont="1" applyFill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49" fontId="7" fillId="0" borderId="0" xfId="0" applyNumberFormat="1" applyFont="1" applyFill="1" applyBorder="1" applyAlignment="1">
      <alignment horizontal="left"/>
    </xf>
    <xf numFmtId="49" fontId="7" fillId="0" borderId="0" xfId="0" applyNumberFormat="1" applyFont="1" applyFill="1"/>
    <xf numFmtId="0" fontId="11" fillId="0" borderId="0" xfId="0" applyFont="1" applyFill="1" applyBorder="1" applyAlignment="1">
      <alignment horizontal="left"/>
    </xf>
    <xf numFmtId="0" fontId="11" fillId="0" borderId="0" xfId="0" applyFont="1" applyFill="1"/>
    <xf numFmtId="1" fontId="7" fillId="0" borderId="0" xfId="0" applyNumberFormat="1" applyFont="1" applyFill="1" applyAlignment="1">
      <alignment horizontal="center"/>
    </xf>
    <xf numFmtId="0" fontId="14" fillId="0" borderId="0" xfId="0" applyFont="1" applyFill="1"/>
    <xf numFmtId="0" fontId="15" fillId="0" borderId="0" xfId="0" applyFont="1" applyFill="1" applyAlignment="1">
      <alignment horizontal="right"/>
    </xf>
    <xf numFmtId="0" fontId="7" fillId="0" borderId="14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2" fontId="7" fillId="0" borderId="0" xfId="0" applyNumberFormat="1" applyFont="1" applyFill="1"/>
    <xf numFmtId="0" fontId="0" fillId="0" borderId="0" xfId="0" applyNumberFormat="1" applyBorder="1" applyAlignment="1">
      <alignment horizontal="center"/>
    </xf>
    <xf numFmtId="4" fontId="0" fillId="0" borderId="0" xfId="0" applyNumberFormat="1" applyAlignment="1">
      <alignment horizontal="right"/>
    </xf>
    <xf numFmtId="0" fontId="0" fillId="0" borderId="16" xfId="0" applyBorder="1"/>
    <xf numFmtId="4" fontId="0" fillId="0" borderId="16" xfId="0" applyNumberFormat="1" applyBorder="1"/>
    <xf numFmtId="0" fontId="0" fillId="0" borderId="0" xfId="0" applyFill="1" applyAlignment="1">
      <alignment horizontal="left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/>
    <xf numFmtId="0" fontId="0" fillId="0" borderId="0" xfId="0" applyFill="1" applyAlignment="1">
      <alignment horizontal="right"/>
    </xf>
    <xf numFmtId="4" fontId="0" fillId="0" borderId="0" xfId="0" applyNumberFormat="1" applyFill="1" applyAlignment="1"/>
    <xf numFmtId="4" fontId="3" fillId="0" borderId="0" xfId="0" applyNumberFormat="1" applyFont="1" applyFill="1"/>
    <xf numFmtId="2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4" fontId="4" fillId="0" borderId="0" xfId="0" applyNumberFormat="1" applyFont="1" applyFill="1" applyAlignment="1">
      <alignment horizontal="left"/>
    </xf>
    <xf numFmtId="4" fontId="1" fillId="0" borderId="0" xfId="0" applyNumberFormat="1" applyFont="1" applyFill="1"/>
    <xf numFmtId="0" fontId="0" fillId="0" borderId="0" xfId="0" applyFill="1" applyAlignment="1"/>
    <xf numFmtId="4" fontId="6" fillId="0" borderId="0" xfId="0" applyNumberFormat="1" applyFont="1" applyFill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/>
    <xf numFmtId="0" fontId="0" fillId="0" borderId="3" xfId="0" applyFill="1" applyBorder="1" applyAlignment="1">
      <alignment horizontal="center"/>
    </xf>
    <xf numFmtId="0" fontId="0" fillId="0" borderId="10" xfId="0" applyFill="1" applyBorder="1" applyAlignment="1">
      <alignment horizontal="center" vertical="center"/>
    </xf>
    <xf numFmtId="0" fontId="0" fillId="0" borderId="10" xfId="0" applyFill="1" applyBorder="1"/>
    <xf numFmtId="0" fontId="0" fillId="0" borderId="0" xfId="0" applyNumberFormat="1" applyFill="1" applyBorder="1" applyAlignment="1">
      <alignment horizontal="center"/>
    </xf>
    <xf numFmtId="4" fontId="1" fillId="0" borderId="0" xfId="0" applyNumberFormat="1" applyFont="1" applyFill="1" applyAlignment="1">
      <alignment horizontal="center"/>
    </xf>
    <xf numFmtId="49" fontId="0" fillId="0" borderId="0" xfId="0" applyNumberFormat="1" applyFill="1"/>
    <xf numFmtId="0" fontId="1" fillId="0" borderId="0" xfId="0" applyFont="1" applyFill="1"/>
    <xf numFmtId="1" fontId="0" fillId="0" borderId="0" xfId="0" applyNumberFormat="1" applyFill="1" applyAlignment="1">
      <alignment horizontal="center"/>
    </xf>
    <xf numFmtId="0" fontId="7" fillId="0" borderId="1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Alignment="1">
      <alignment horizontal="left"/>
    </xf>
    <xf numFmtId="0" fontId="7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11" fillId="0" borderId="0" xfId="0" applyFont="1" applyFill="1" applyAlignment="1">
      <alignment horizontal="right"/>
    </xf>
    <xf numFmtId="2" fontId="0" fillId="0" borderId="0" xfId="0" applyNumberFormat="1" applyFill="1" applyAlignment="1">
      <alignment horizontal="center"/>
    </xf>
    <xf numFmtId="0" fontId="0" fillId="0" borderId="0" xfId="0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4" fontId="0" fillId="0" borderId="0" xfId="0" applyNumberFormat="1" applyFill="1" applyBorder="1"/>
    <xf numFmtId="4" fontId="3" fillId="0" borderId="0" xfId="0" applyNumberFormat="1" applyFont="1" applyBorder="1" applyAlignment="1"/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0" fillId="0" borderId="8" xfId="0" applyFill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7" fillId="0" borderId="0" xfId="0" applyFont="1"/>
    <xf numFmtId="0" fontId="7" fillId="0" borderId="8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0" borderId="8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Fill="1" applyBorder="1" applyAlignment="1">
      <alignment horizontal="left"/>
    </xf>
    <xf numFmtId="4" fontId="0" fillId="0" borderId="8" xfId="0" applyNumberFormat="1" applyBorder="1" applyAlignment="1">
      <alignment horizontal="right"/>
    </xf>
    <xf numFmtId="4" fontId="0" fillId="0" borderId="9" xfId="0" applyNumberFormat="1" applyBorder="1" applyAlignment="1">
      <alignment horizontal="right"/>
    </xf>
    <xf numFmtId="0" fontId="7" fillId="0" borderId="8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4" fontId="0" fillId="0" borderId="8" xfId="0" applyNumberFormat="1" applyFill="1" applyBorder="1" applyAlignment="1">
      <alignment horizontal="right" vertical="center"/>
    </xf>
    <xf numFmtId="4" fontId="0" fillId="0" borderId="9" xfId="0" applyNumberFormat="1" applyFill="1" applyBorder="1" applyAlignment="1">
      <alignment horizontal="right" vertical="center"/>
    </xf>
    <xf numFmtId="4" fontId="0" fillId="0" borderId="8" xfId="0" applyNumberFormat="1" applyFill="1" applyBorder="1" applyAlignment="1">
      <alignment horizontal="right"/>
    </xf>
    <xf numFmtId="4" fontId="0" fillId="0" borderId="9" xfId="0" applyNumberFormat="1" applyFill="1" applyBorder="1" applyAlignment="1">
      <alignment horizontal="right"/>
    </xf>
    <xf numFmtId="0" fontId="2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0" fillId="0" borderId="8" xfId="0" applyNumberFormat="1" applyBorder="1" applyAlignment="1">
      <alignment horizontal="right" vertical="center"/>
    </xf>
    <xf numFmtId="4" fontId="0" fillId="0" borderId="9" xfId="0" applyNumberFormat="1" applyBorder="1" applyAlignment="1">
      <alignment horizontal="right" vertical="center"/>
    </xf>
    <xf numFmtId="49" fontId="0" fillId="0" borderId="0" xfId="0" applyNumberFormat="1" applyFill="1" applyBorder="1" applyAlignment="1">
      <alignment horizontal="left"/>
    </xf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left"/>
    </xf>
    <xf numFmtId="4" fontId="7" fillId="0" borderId="8" xfId="0" applyNumberFormat="1" applyFont="1" applyFill="1" applyBorder="1" applyAlignment="1">
      <alignment horizontal="right" vertical="center"/>
    </xf>
    <xf numFmtId="4" fontId="7" fillId="0" borderId="9" xfId="0" applyNumberFormat="1" applyFont="1" applyFill="1" applyBorder="1" applyAlignment="1">
      <alignment horizontal="right" vertical="center"/>
    </xf>
    <xf numFmtId="4" fontId="7" fillId="0" borderId="8" xfId="0" applyNumberFormat="1" applyFont="1" applyFill="1" applyBorder="1" applyAlignment="1">
      <alignment horizontal="right"/>
    </xf>
    <xf numFmtId="4" fontId="7" fillId="0" borderId="9" xfId="0" applyNumberFormat="1" applyFont="1" applyFill="1" applyBorder="1" applyAlignment="1">
      <alignment horizontal="right"/>
    </xf>
    <xf numFmtId="4" fontId="7" fillId="0" borderId="8" xfId="0" applyNumberFormat="1" applyFont="1" applyFill="1" applyBorder="1" applyAlignment="1"/>
    <xf numFmtId="4" fontId="7" fillId="0" borderId="9" xfId="0" applyNumberFormat="1" applyFont="1" applyFill="1" applyBorder="1" applyAlignment="1"/>
    <xf numFmtId="4" fontId="0" fillId="0" borderId="8" xfId="0" applyNumberFormat="1" applyBorder="1" applyAlignment="1">
      <alignment vertical="center"/>
    </xf>
    <xf numFmtId="4" fontId="0" fillId="0" borderId="9" xfId="0" applyNumberFormat="1" applyBorder="1" applyAlignment="1">
      <alignment vertical="center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Alignment="1">
      <alignment horizontal="center"/>
    </xf>
    <xf numFmtId="0" fontId="7" fillId="0" borderId="12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7" fillId="0" borderId="11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" fontId="11" fillId="0" borderId="8" xfId="0" applyNumberFormat="1" applyFont="1" applyFill="1" applyBorder="1" applyAlignment="1"/>
    <xf numFmtId="4" fontId="11" fillId="0" borderId="9" xfId="0" applyNumberFormat="1" applyFont="1" applyFill="1" applyBorder="1" applyAlignment="1"/>
    <xf numFmtId="4" fontId="11" fillId="0" borderId="6" xfId="0" applyNumberFormat="1" applyFont="1" applyFill="1" applyBorder="1" applyAlignment="1">
      <alignment horizontal="right"/>
    </xf>
    <xf numFmtId="0" fontId="11" fillId="0" borderId="7" xfId="0" applyFont="1" applyFill="1" applyBorder="1" applyAlignment="1">
      <alignment horizontal="right"/>
    </xf>
    <xf numFmtId="4" fontId="13" fillId="0" borderId="6" xfId="0" applyNumberFormat="1" applyFont="1" applyFill="1" applyBorder="1" applyAlignment="1"/>
    <xf numFmtId="4" fontId="13" fillId="0" borderId="7" xfId="0" applyNumberFormat="1" applyFont="1" applyFill="1" applyBorder="1" applyAlignment="1"/>
    <xf numFmtId="0" fontId="11" fillId="0" borderId="4" xfId="0" applyFont="1" applyFill="1" applyBorder="1" applyAlignment="1">
      <alignment horizontal="center" vertical="top"/>
    </xf>
    <xf numFmtId="0" fontId="11" fillId="0" borderId="11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horizontal="center" vertical="top"/>
    </xf>
    <xf numFmtId="0" fontId="9" fillId="0" borderId="0" xfId="0" applyFont="1" applyFill="1" applyAlignment="1">
      <alignment horizontal="center"/>
    </xf>
    <xf numFmtId="4" fontId="13" fillId="0" borderId="0" xfId="0" applyNumberFormat="1" applyFont="1" applyFill="1" applyAlignment="1">
      <alignment horizontal="right"/>
    </xf>
    <xf numFmtId="4" fontId="11" fillId="0" borderId="0" xfId="0" applyNumberFormat="1" applyFont="1" applyFill="1" applyAlignment="1">
      <alignment horizontal="right"/>
    </xf>
    <xf numFmtId="0" fontId="11" fillId="0" borderId="4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left"/>
    </xf>
    <xf numFmtId="0" fontId="7" fillId="0" borderId="15" xfId="0" applyFont="1" applyFill="1" applyBorder="1" applyAlignment="1">
      <alignment horizontal="left"/>
    </xf>
    <xf numFmtId="4" fontId="11" fillId="0" borderId="13" xfId="0" applyNumberFormat="1" applyFont="1" applyFill="1" applyBorder="1" applyAlignment="1">
      <alignment horizontal="right"/>
    </xf>
    <xf numFmtId="4" fontId="11" fillId="0" borderId="15" xfId="0" applyNumberFormat="1" applyFont="1" applyFill="1" applyBorder="1" applyAlignment="1">
      <alignment horizontal="right"/>
    </xf>
    <xf numFmtId="4" fontId="0" fillId="0" borderId="8" xfId="0" applyNumberFormat="1" applyBorder="1" applyAlignment="1"/>
    <xf numFmtId="4" fontId="0" fillId="0" borderId="9" xfId="0" applyNumberFormat="1" applyBorder="1" applyAlignment="1"/>
    <xf numFmtId="2" fontId="0" fillId="0" borderId="8" xfId="0" applyNumberFormat="1" applyFill="1" applyBorder="1" applyAlignment="1">
      <alignment horizontal="right"/>
    </xf>
    <xf numFmtId="2" fontId="0" fillId="0" borderId="9" xfId="0" applyNumberFormat="1" applyFill="1" applyBorder="1" applyAlignment="1">
      <alignment horizontal="right"/>
    </xf>
    <xf numFmtId="4" fontId="0" fillId="0" borderId="8" xfId="0" applyNumberFormat="1" applyFill="1" applyBorder="1" applyAlignment="1">
      <alignment vertical="center"/>
    </xf>
    <xf numFmtId="4" fontId="0" fillId="0" borderId="9" xfId="0" applyNumberFormat="1" applyFill="1" applyBorder="1" applyAlignment="1">
      <alignment vertical="center"/>
    </xf>
    <xf numFmtId="0" fontId="8" fillId="0" borderId="0" xfId="0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4" fontId="0" fillId="0" borderId="13" xfId="0" applyNumberFormat="1" applyFill="1" applyBorder="1" applyAlignment="1">
      <alignment horizontal="right"/>
    </xf>
    <xf numFmtId="4" fontId="0" fillId="0" borderId="15" xfId="0" applyNumberFormat="1" applyFill="1" applyBorder="1" applyAlignment="1">
      <alignment horizontal="right"/>
    </xf>
    <xf numFmtId="4" fontId="13" fillId="0" borderId="0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1"/>
  <sheetViews>
    <sheetView tabSelected="1" topLeftCell="A75" workbookViewId="0">
      <selection activeCell="H99" sqref="H99"/>
    </sheetView>
  </sheetViews>
  <sheetFormatPr defaultRowHeight="15"/>
  <cols>
    <col min="1" max="1" width="5.7109375" style="34" customWidth="1"/>
    <col min="2" max="2" width="9.85546875" style="34" customWidth="1"/>
    <col min="3" max="3" width="10.7109375" style="34" customWidth="1"/>
    <col min="4" max="4" width="6.28515625" style="34" customWidth="1"/>
    <col min="5" max="5" width="7.7109375" style="34" customWidth="1"/>
    <col min="6" max="6" width="8.85546875" style="34" customWidth="1"/>
    <col min="7" max="7" width="13" style="34" customWidth="1"/>
    <col min="8" max="8" width="12" style="34" customWidth="1"/>
    <col min="9" max="9" width="9" style="34" customWidth="1"/>
    <col min="10" max="10" width="11.7109375" style="34" customWidth="1"/>
    <col min="11" max="11" width="10.28515625" style="34" customWidth="1"/>
    <col min="12" max="12" width="3.28515625" style="34" customWidth="1"/>
  </cols>
  <sheetData>
    <row r="1" spans="1:12">
      <c r="J1" s="36"/>
      <c r="K1" s="77" t="s">
        <v>170</v>
      </c>
    </row>
    <row r="2" spans="1:12" ht="18.75">
      <c r="A2" s="205" t="s">
        <v>0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</row>
    <row r="3" spans="1:12" ht="18.75">
      <c r="A3" s="205" t="s">
        <v>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2" ht="18.75">
      <c r="A4" s="30"/>
      <c r="B4" s="31"/>
      <c r="C4" s="30"/>
      <c r="D4" s="32" t="s">
        <v>2</v>
      </c>
      <c r="E4" s="31">
        <v>6</v>
      </c>
      <c r="F4" s="33" t="s">
        <v>85</v>
      </c>
      <c r="G4" s="33"/>
      <c r="H4" s="31"/>
      <c r="I4" s="31">
        <v>2013</v>
      </c>
      <c r="J4" s="33" t="s">
        <v>22</v>
      </c>
    </row>
    <row r="6" spans="1:12" ht="15.75">
      <c r="A6" s="35" t="s">
        <v>27</v>
      </c>
      <c r="B6" s="36">
        <f>I4</f>
        <v>2013</v>
      </c>
      <c r="C6" s="34" t="s">
        <v>28</v>
      </c>
      <c r="D6" s="37" t="s">
        <v>83</v>
      </c>
      <c r="E6" s="38">
        <v>2669</v>
      </c>
      <c r="F6" s="34" t="s">
        <v>156</v>
      </c>
    </row>
    <row r="7" spans="1:12" ht="15.75">
      <c r="A7" s="206">
        <v>1604261.95</v>
      </c>
      <c r="B7" s="206"/>
      <c r="C7" s="39" t="s">
        <v>3</v>
      </c>
      <c r="G7" s="40">
        <f>A7-J13</f>
        <v>1268206.79</v>
      </c>
      <c r="H7" s="36" t="s">
        <v>82</v>
      </c>
      <c r="I7" s="41">
        <f>(G7/A7)*100</f>
        <v>79.052351145023422</v>
      </c>
      <c r="J7" s="34" t="s">
        <v>4</v>
      </c>
    </row>
    <row r="8" spans="1:12" ht="15.75">
      <c r="A8" s="34" t="s">
        <v>81</v>
      </c>
      <c r="J8" s="40">
        <v>336055.16</v>
      </c>
      <c r="K8" s="34" t="s">
        <v>5</v>
      </c>
    </row>
    <row r="9" spans="1:12">
      <c r="A9" s="34" t="s">
        <v>80</v>
      </c>
    </row>
    <row r="10" spans="1:12">
      <c r="A10" s="34" t="s">
        <v>157</v>
      </c>
      <c r="B10" s="42">
        <v>30409.61</v>
      </c>
      <c r="C10" s="34" t="s">
        <v>10</v>
      </c>
      <c r="E10" s="43" t="s">
        <v>158</v>
      </c>
      <c r="F10" s="42">
        <v>17168.98</v>
      </c>
      <c r="G10" s="34" t="s">
        <v>10</v>
      </c>
      <c r="I10" s="43" t="s">
        <v>159</v>
      </c>
      <c r="J10" s="42">
        <v>15776.51</v>
      </c>
      <c r="K10" s="34" t="s">
        <v>10</v>
      </c>
    </row>
    <row r="11" spans="1:12">
      <c r="A11" s="34" t="s">
        <v>160</v>
      </c>
      <c r="B11" s="42">
        <v>19337.099999999999</v>
      </c>
      <c r="C11" s="34" t="s">
        <v>10</v>
      </c>
      <c r="E11" s="43" t="s">
        <v>161</v>
      </c>
      <c r="F11" s="42">
        <v>39398.06</v>
      </c>
      <c r="G11" s="34" t="s">
        <v>10</v>
      </c>
      <c r="I11" s="43" t="s">
        <v>162</v>
      </c>
      <c r="J11" s="42">
        <v>15586.56</v>
      </c>
      <c r="K11" s="34" t="s">
        <v>10</v>
      </c>
    </row>
    <row r="12" spans="1:12">
      <c r="A12" s="34" t="s">
        <v>163</v>
      </c>
      <c r="B12" s="42">
        <v>13847.91</v>
      </c>
      <c r="C12" s="34" t="s">
        <v>10</v>
      </c>
      <c r="E12" s="44" t="s">
        <v>164</v>
      </c>
      <c r="F12" s="42">
        <v>17472.96</v>
      </c>
      <c r="G12" s="34" t="s">
        <v>10</v>
      </c>
      <c r="I12" s="44" t="s">
        <v>165</v>
      </c>
      <c r="J12" s="42">
        <v>16194.91</v>
      </c>
      <c r="K12" s="34" t="s">
        <v>10</v>
      </c>
    </row>
    <row r="13" spans="1:12" ht="15.75">
      <c r="A13" s="34" t="s">
        <v>30</v>
      </c>
      <c r="J13" s="239">
        <v>336055.16</v>
      </c>
      <c r="K13" s="45" t="s">
        <v>31</v>
      </c>
    </row>
    <row r="14" spans="1:12">
      <c r="A14" s="46" t="s">
        <v>6</v>
      </c>
      <c r="B14" s="34" t="s">
        <v>7</v>
      </c>
      <c r="G14" s="38">
        <f>(J13*43.5/100)</f>
        <v>146183.99459999998</v>
      </c>
      <c r="H14" s="34" t="s">
        <v>10</v>
      </c>
    </row>
    <row r="15" spans="1:12">
      <c r="A15" s="46" t="s">
        <v>6</v>
      </c>
      <c r="B15" s="34" t="s">
        <v>8</v>
      </c>
      <c r="G15" s="38">
        <f>(J13*36.6/100)</f>
        <v>122996.18855999998</v>
      </c>
      <c r="H15" s="34" t="s">
        <v>10</v>
      </c>
    </row>
    <row r="16" spans="1:12">
      <c r="A16" s="46" t="s">
        <v>6</v>
      </c>
      <c r="B16" s="34" t="s">
        <v>9</v>
      </c>
      <c r="G16" s="38">
        <f>(J13*12.5/100)</f>
        <v>42006.894999999997</v>
      </c>
      <c r="H16" s="34" t="s">
        <v>10</v>
      </c>
      <c r="K16" s="39"/>
      <c r="L16" s="47"/>
    </row>
    <row r="17" spans="1:12">
      <c r="A17" s="46" t="s">
        <v>6</v>
      </c>
      <c r="B17" s="34" t="s">
        <v>14</v>
      </c>
      <c r="G17" s="38">
        <f>(J13*7.4/100)</f>
        <v>24868.081839999999</v>
      </c>
      <c r="H17" s="34" t="s">
        <v>10</v>
      </c>
    </row>
    <row r="18" spans="1:12" ht="6.75" customHeight="1">
      <c r="G18" s="48"/>
    </row>
    <row r="19" spans="1:12">
      <c r="A19" s="49" t="s">
        <v>11</v>
      </c>
      <c r="G19" s="38">
        <f>E6*4.74*12/1.03</f>
        <v>147390.99029126216</v>
      </c>
      <c r="H19" s="34" t="s">
        <v>12</v>
      </c>
    </row>
    <row r="20" spans="1:12" ht="15.75" thickBot="1">
      <c r="A20" s="207">
        <f>G19*I7/100</f>
        <v>116516.04320117594</v>
      </c>
      <c r="B20" s="207"/>
      <c r="C20" s="34" t="s">
        <v>71</v>
      </c>
    </row>
    <row r="21" spans="1:12">
      <c r="A21" s="50" t="s">
        <v>2</v>
      </c>
      <c r="B21" s="208" t="s">
        <v>20</v>
      </c>
      <c r="C21" s="209"/>
      <c r="D21" s="209"/>
      <c r="E21" s="209"/>
      <c r="F21" s="209"/>
      <c r="G21" s="209"/>
      <c r="H21" s="210"/>
      <c r="I21" s="50" t="s">
        <v>18</v>
      </c>
      <c r="J21" s="51" t="s">
        <v>17</v>
      </c>
      <c r="K21" s="208" t="s">
        <v>15</v>
      </c>
      <c r="L21" s="210"/>
    </row>
    <row r="22" spans="1:12" ht="15.75" thickBot="1">
      <c r="A22" s="52" t="s">
        <v>13</v>
      </c>
      <c r="B22" s="179"/>
      <c r="C22" s="180"/>
      <c r="D22" s="180"/>
      <c r="E22" s="180"/>
      <c r="F22" s="180"/>
      <c r="G22" s="180"/>
      <c r="H22" s="181"/>
      <c r="I22" s="52" t="s">
        <v>19</v>
      </c>
      <c r="J22" s="53"/>
      <c r="K22" s="211" t="s">
        <v>16</v>
      </c>
      <c r="L22" s="212"/>
    </row>
    <row r="23" spans="1:12" ht="15.75" thickBot="1">
      <c r="A23" s="63"/>
      <c r="B23" s="213" t="s">
        <v>84</v>
      </c>
      <c r="C23" s="214"/>
      <c r="D23" s="214"/>
      <c r="E23" s="214"/>
      <c r="F23" s="214"/>
      <c r="G23" s="214"/>
      <c r="H23" s="215"/>
      <c r="I23" s="79"/>
      <c r="J23" s="80"/>
      <c r="K23" s="216">
        <v>141891.79999999999</v>
      </c>
      <c r="L23" s="217"/>
    </row>
    <row r="24" spans="1:12">
      <c r="A24" s="29">
        <v>1</v>
      </c>
      <c r="B24" s="149" t="s">
        <v>86</v>
      </c>
      <c r="C24" s="150"/>
      <c r="D24" s="150"/>
      <c r="E24" s="150"/>
      <c r="F24" s="150"/>
      <c r="G24" s="150"/>
      <c r="H24" s="166"/>
      <c r="I24" s="36" t="s">
        <v>96</v>
      </c>
      <c r="J24" s="29">
        <v>2</v>
      </c>
      <c r="K24" s="169">
        <v>8986</v>
      </c>
      <c r="L24" s="170"/>
    </row>
    <row r="25" spans="1:12">
      <c r="A25" s="29">
        <v>2</v>
      </c>
      <c r="B25" s="149" t="s">
        <v>135</v>
      </c>
      <c r="C25" s="150"/>
      <c r="D25" s="150"/>
      <c r="E25" s="150"/>
      <c r="F25" s="150"/>
      <c r="G25" s="150"/>
      <c r="H25" s="166"/>
      <c r="I25" s="36" t="s">
        <v>96</v>
      </c>
      <c r="J25" s="29">
        <v>2</v>
      </c>
      <c r="K25" s="169">
        <f>10000/19200.7*2669</f>
        <v>1390.0534876332633</v>
      </c>
      <c r="L25" s="170"/>
    </row>
    <row r="26" spans="1:12">
      <c r="A26" s="29">
        <v>3</v>
      </c>
      <c r="B26" s="149" t="s">
        <v>87</v>
      </c>
      <c r="C26" s="150"/>
      <c r="D26" s="150"/>
      <c r="E26" s="150"/>
      <c r="F26" s="150"/>
      <c r="G26" s="150"/>
      <c r="H26" s="166"/>
      <c r="I26" s="36" t="s">
        <v>96</v>
      </c>
      <c r="J26" s="29"/>
      <c r="K26" s="169">
        <v>4000</v>
      </c>
      <c r="L26" s="170"/>
    </row>
    <row r="27" spans="1:12">
      <c r="A27" s="29">
        <v>4</v>
      </c>
      <c r="B27" s="149" t="s">
        <v>133</v>
      </c>
      <c r="C27" s="150"/>
      <c r="D27" s="150"/>
      <c r="E27" s="150"/>
      <c r="F27" s="150"/>
      <c r="G27" s="150"/>
      <c r="H27" s="166"/>
      <c r="I27" s="36" t="s">
        <v>96</v>
      </c>
      <c r="J27" s="29">
        <v>1</v>
      </c>
      <c r="K27" s="169">
        <v>506</v>
      </c>
      <c r="L27" s="170"/>
    </row>
    <row r="28" spans="1:12">
      <c r="A28" s="29">
        <v>5</v>
      </c>
      <c r="B28" s="149" t="s">
        <v>88</v>
      </c>
      <c r="C28" s="150"/>
      <c r="D28" s="150"/>
      <c r="E28" s="150"/>
      <c r="F28" s="150"/>
      <c r="G28" s="150"/>
      <c r="H28" s="166"/>
      <c r="I28" s="36" t="s">
        <v>96</v>
      </c>
      <c r="J28" s="29">
        <v>2</v>
      </c>
      <c r="K28" s="169">
        <v>7681</v>
      </c>
      <c r="L28" s="170"/>
    </row>
    <row r="29" spans="1:12">
      <c r="A29" s="29">
        <v>6</v>
      </c>
      <c r="B29" s="149" t="s">
        <v>89</v>
      </c>
      <c r="C29" s="150"/>
      <c r="D29" s="150"/>
      <c r="E29" s="150"/>
      <c r="F29" s="150"/>
      <c r="G29" s="150"/>
      <c r="H29" s="166"/>
      <c r="I29" s="55" t="s">
        <v>166</v>
      </c>
      <c r="J29" s="29">
        <v>408</v>
      </c>
      <c r="K29" s="167">
        <v>8000</v>
      </c>
      <c r="L29" s="168"/>
    </row>
    <row r="30" spans="1:12">
      <c r="A30" s="29">
        <v>7</v>
      </c>
      <c r="B30" s="149" t="s">
        <v>102</v>
      </c>
      <c r="C30" s="150"/>
      <c r="D30" s="150"/>
      <c r="E30" s="150"/>
      <c r="F30" s="150"/>
      <c r="G30" s="150"/>
      <c r="H30" s="166"/>
      <c r="I30" s="36" t="s">
        <v>96</v>
      </c>
      <c r="J30" s="56">
        <v>1</v>
      </c>
      <c r="K30" s="169">
        <v>4233.33</v>
      </c>
      <c r="L30" s="170"/>
    </row>
    <row r="31" spans="1:12">
      <c r="A31" s="29">
        <v>8</v>
      </c>
      <c r="B31" s="149" t="s">
        <v>90</v>
      </c>
      <c r="C31" s="150"/>
      <c r="D31" s="150"/>
      <c r="E31" s="150"/>
      <c r="F31" s="150"/>
      <c r="G31" s="150"/>
      <c r="H31" s="166"/>
      <c r="I31" s="57" t="s">
        <v>97</v>
      </c>
      <c r="J31" s="29">
        <v>6</v>
      </c>
      <c r="K31" s="169">
        <f>50100/19200.7*2669</f>
        <v>6964.1679730426495</v>
      </c>
      <c r="L31" s="170"/>
    </row>
    <row r="32" spans="1:12">
      <c r="A32" s="29">
        <v>9</v>
      </c>
      <c r="B32" s="27" t="s">
        <v>129</v>
      </c>
      <c r="C32" s="28"/>
      <c r="D32" s="28"/>
      <c r="E32" s="28"/>
      <c r="F32" s="28"/>
      <c r="G32" s="28"/>
      <c r="H32" s="58"/>
      <c r="I32" s="59" t="s">
        <v>96</v>
      </c>
      <c r="J32" s="29">
        <v>1</v>
      </c>
      <c r="K32" s="169">
        <v>7454.5</v>
      </c>
      <c r="L32" s="170"/>
    </row>
    <row r="33" spans="1:12">
      <c r="A33" s="29">
        <v>10</v>
      </c>
      <c r="B33" s="149" t="s">
        <v>91</v>
      </c>
      <c r="C33" s="150"/>
      <c r="D33" s="150"/>
      <c r="E33" s="150"/>
      <c r="F33" s="150"/>
      <c r="G33" s="150"/>
      <c r="H33" s="166"/>
      <c r="I33" s="36" t="s">
        <v>98</v>
      </c>
      <c r="J33" s="29">
        <v>10</v>
      </c>
      <c r="K33" s="169">
        <f>4210+3000</f>
        <v>7210</v>
      </c>
      <c r="L33" s="170"/>
    </row>
    <row r="34" spans="1:12">
      <c r="A34" s="29">
        <v>11</v>
      </c>
      <c r="B34" s="149" t="s">
        <v>130</v>
      </c>
      <c r="C34" s="150"/>
      <c r="D34" s="150"/>
      <c r="E34" s="150"/>
      <c r="F34" s="150"/>
      <c r="G34" s="150"/>
      <c r="H34" s="166"/>
      <c r="I34" s="55" t="s">
        <v>101</v>
      </c>
      <c r="J34" s="29">
        <v>10</v>
      </c>
      <c r="K34" s="169">
        <f>7000*0.076</f>
        <v>532</v>
      </c>
      <c r="L34" s="170"/>
    </row>
    <row r="35" spans="1:12">
      <c r="A35" s="29">
        <v>12</v>
      </c>
      <c r="B35" s="149" t="s">
        <v>131</v>
      </c>
      <c r="C35" s="150"/>
      <c r="D35" s="150"/>
      <c r="E35" s="150"/>
      <c r="F35" s="150"/>
      <c r="G35" s="150"/>
      <c r="H35" s="166"/>
      <c r="I35" s="55" t="s">
        <v>101</v>
      </c>
      <c r="J35" s="29">
        <v>10</v>
      </c>
      <c r="K35" s="169">
        <f>6000*0.076</f>
        <v>456</v>
      </c>
      <c r="L35" s="170"/>
    </row>
    <row r="36" spans="1:12">
      <c r="A36" s="29">
        <v>13</v>
      </c>
      <c r="B36" s="149" t="s">
        <v>92</v>
      </c>
      <c r="C36" s="150"/>
      <c r="D36" s="150"/>
      <c r="E36" s="150"/>
      <c r="F36" s="150"/>
      <c r="G36" s="150"/>
      <c r="H36" s="166"/>
      <c r="I36" s="55" t="s">
        <v>166</v>
      </c>
      <c r="J36" s="60">
        <v>313</v>
      </c>
      <c r="K36" s="169">
        <v>1000</v>
      </c>
      <c r="L36" s="170"/>
    </row>
    <row r="37" spans="1:12">
      <c r="A37" s="29">
        <v>14</v>
      </c>
      <c r="B37" s="149" t="s">
        <v>93</v>
      </c>
      <c r="C37" s="150"/>
      <c r="D37" s="150"/>
      <c r="E37" s="150"/>
      <c r="F37" s="150"/>
      <c r="G37" s="150"/>
      <c r="H37" s="166"/>
      <c r="I37" s="36" t="s">
        <v>96</v>
      </c>
      <c r="J37" s="29">
        <v>1</v>
      </c>
      <c r="K37" s="169">
        <v>7791</v>
      </c>
      <c r="L37" s="170"/>
    </row>
    <row r="38" spans="1:12">
      <c r="A38" s="29">
        <v>15</v>
      </c>
      <c r="B38" s="149" t="s">
        <v>94</v>
      </c>
      <c r="C38" s="150"/>
      <c r="D38" s="150"/>
      <c r="E38" s="150"/>
      <c r="F38" s="150"/>
      <c r="G38" s="150"/>
      <c r="H38" s="166"/>
      <c r="I38" s="36" t="s">
        <v>96</v>
      </c>
      <c r="J38" s="29">
        <v>1</v>
      </c>
      <c r="K38" s="169">
        <v>7094</v>
      </c>
      <c r="L38" s="170"/>
    </row>
    <row r="39" spans="1:12">
      <c r="A39" s="29">
        <v>16</v>
      </c>
      <c r="B39" s="149" t="s">
        <v>136</v>
      </c>
      <c r="C39" s="150"/>
      <c r="D39" s="150"/>
      <c r="E39" s="150"/>
      <c r="F39" s="150"/>
      <c r="G39" s="150"/>
      <c r="H39" s="150"/>
      <c r="I39" s="56" t="s">
        <v>167</v>
      </c>
      <c r="J39" s="29">
        <v>20</v>
      </c>
      <c r="K39" s="169">
        <f>13000*0.1382</f>
        <v>1796.6</v>
      </c>
      <c r="L39" s="170"/>
    </row>
    <row r="40" spans="1:12" s="19" customFormat="1">
      <c r="A40" s="29">
        <v>17</v>
      </c>
      <c r="B40" s="149" t="s">
        <v>125</v>
      </c>
      <c r="C40" s="150"/>
      <c r="D40" s="150"/>
      <c r="E40" s="150"/>
      <c r="F40" s="150"/>
      <c r="G40" s="150"/>
      <c r="H40" s="166"/>
      <c r="I40" s="55" t="s">
        <v>96</v>
      </c>
      <c r="J40" s="29">
        <v>4</v>
      </c>
      <c r="K40" s="169">
        <f>4*319.2*0.5</f>
        <v>638.4</v>
      </c>
      <c r="L40" s="170"/>
    </row>
    <row r="41" spans="1:12" s="19" customFormat="1">
      <c r="A41" s="29">
        <v>18</v>
      </c>
      <c r="B41" s="149" t="s">
        <v>126</v>
      </c>
      <c r="C41" s="150"/>
      <c r="D41" s="150"/>
      <c r="E41" s="150"/>
      <c r="F41" s="150"/>
      <c r="G41" s="150"/>
      <c r="H41" s="166"/>
      <c r="I41" s="55" t="s">
        <v>96</v>
      </c>
      <c r="J41" s="29">
        <v>4</v>
      </c>
      <c r="K41" s="169">
        <f>4*116.8*0.5</f>
        <v>233.6</v>
      </c>
      <c r="L41" s="170"/>
    </row>
    <row r="42" spans="1:12">
      <c r="A42" s="29">
        <v>19</v>
      </c>
      <c r="B42" s="149" t="s">
        <v>100</v>
      </c>
      <c r="C42" s="150"/>
      <c r="D42" s="150"/>
      <c r="E42" s="150"/>
      <c r="F42" s="150"/>
      <c r="G42" s="150"/>
      <c r="H42" s="166"/>
      <c r="I42" s="36" t="s">
        <v>96</v>
      </c>
      <c r="J42" s="29">
        <v>1</v>
      </c>
      <c r="K42" s="169">
        <v>562</v>
      </c>
      <c r="L42" s="170"/>
    </row>
    <row r="43" spans="1:12">
      <c r="A43" s="29">
        <v>20</v>
      </c>
      <c r="B43" s="149" t="s">
        <v>142</v>
      </c>
      <c r="C43" s="150"/>
      <c r="D43" s="150"/>
      <c r="E43" s="150"/>
      <c r="F43" s="150"/>
      <c r="G43" s="150"/>
      <c r="H43" s="166"/>
      <c r="I43" s="61" t="s">
        <v>96</v>
      </c>
      <c r="J43" s="29">
        <v>1</v>
      </c>
      <c r="K43" s="169">
        <f>(2000+9000)/9</f>
        <v>1222.2222222222222</v>
      </c>
      <c r="L43" s="170"/>
    </row>
    <row r="44" spans="1:12">
      <c r="A44" s="29">
        <v>21</v>
      </c>
      <c r="B44" s="149" t="s">
        <v>138</v>
      </c>
      <c r="C44" s="150"/>
      <c r="D44" s="150"/>
      <c r="E44" s="150"/>
      <c r="F44" s="150"/>
      <c r="G44" s="150"/>
      <c r="H44" s="166"/>
      <c r="I44" s="55" t="s">
        <v>166</v>
      </c>
      <c r="J44" s="29">
        <v>3</v>
      </c>
      <c r="K44" s="169">
        <f>12920/2</f>
        <v>6460</v>
      </c>
      <c r="L44" s="170"/>
    </row>
    <row r="45" spans="1:12">
      <c r="A45" s="29">
        <v>22</v>
      </c>
      <c r="B45" s="149" t="s">
        <v>141</v>
      </c>
      <c r="C45" s="150"/>
      <c r="D45" s="150"/>
      <c r="E45" s="150"/>
      <c r="F45" s="150"/>
      <c r="G45" s="150"/>
      <c r="H45" s="166"/>
      <c r="I45" s="29" t="s">
        <v>96</v>
      </c>
      <c r="J45" s="29">
        <v>15</v>
      </c>
      <c r="K45" s="169">
        <f>2969*0.0993</f>
        <v>294.82170000000002</v>
      </c>
      <c r="L45" s="170"/>
    </row>
    <row r="46" spans="1:12" s="19" customFormat="1">
      <c r="A46" s="29">
        <v>23</v>
      </c>
      <c r="B46" s="149" t="s">
        <v>99</v>
      </c>
      <c r="C46" s="150"/>
      <c r="D46" s="150"/>
      <c r="E46" s="150"/>
      <c r="F46" s="150"/>
      <c r="G46" s="150"/>
      <c r="H46" s="166"/>
      <c r="I46" s="140" t="s">
        <v>96</v>
      </c>
      <c r="J46" s="29">
        <v>12</v>
      </c>
      <c r="K46" s="169">
        <f>5866+3000</f>
        <v>8866</v>
      </c>
      <c r="L46" s="170"/>
    </row>
    <row r="47" spans="1:12" s="19" customFormat="1">
      <c r="A47" s="29">
        <v>24</v>
      </c>
      <c r="B47" s="149" t="s">
        <v>103</v>
      </c>
      <c r="C47" s="150"/>
      <c r="D47" s="150"/>
      <c r="E47" s="150"/>
      <c r="F47" s="150"/>
      <c r="G47" s="150"/>
      <c r="H47" s="166"/>
      <c r="I47" s="141" t="s">
        <v>166</v>
      </c>
      <c r="J47" s="60">
        <v>313</v>
      </c>
      <c r="K47" s="169">
        <f>2400+260</f>
        <v>2660</v>
      </c>
      <c r="L47" s="170"/>
    </row>
    <row r="48" spans="1:12" s="19" customFormat="1">
      <c r="A48" s="29">
        <v>25</v>
      </c>
      <c r="B48" s="149" t="s">
        <v>137</v>
      </c>
      <c r="C48" s="150"/>
      <c r="D48" s="150"/>
      <c r="E48" s="150"/>
      <c r="F48" s="150"/>
      <c r="G48" s="150"/>
      <c r="H48" s="150"/>
      <c r="I48" s="29" t="s">
        <v>96</v>
      </c>
      <c r="J48" s="29">
        <v>1</v>
      </c>
      <c r="K48" s="169">
        <f>14980*0.5</f>
        <v>7490</v>
      </c>
      <c r="L48" s="170"/>
    </row>
    <row r="49" spans="1:12" s="19" customFormat="1">
      <c r="A49" s="29">
        <v>26</v>
      </c>
      <c r="B49" s="149" t="s">
        <v>134</v>
      </c>
      <c r="C49" s="150"/>
      <c r="D49" s="150"/>
      <c r="E49" s="150"/>
      <c r="F49" s="150"/>
      <c r="G49" s="150"/>
      <c r="H49" s="166"/>
      <c r="I49" s="139" t="s">
        <v>96</v>
      </c>
      <c r="J49" s="29">
        <v>1</v>
      </c>
      <c r="K49" s="169">
        <f>2600+1092</f>
        <v>3692</v>
      </c>
      <c r="L49" s="170"/>
    </row>
    <row r="50" spans="1:12" s="19" customFormat="1">
      <c r="A50" s="29">
        <v>27</v>
      </c>
      <c r="B50" s="136" t="s">
        <v>132</v>
      </c>
      <c r="C50" s="137"/>
      <c r="D50" s="137"/>
      <c r="E50" s="137"/>
      <c r="F50" s="137"/>
      <c r="G50" s="137"/>
      <c r="H50" s="138"/>
      <c r="I50" s="140" t="s">
        <v>96</v>
      </c>
      <c r="J50" s="29">
        <v>2</v>
      </c>
      <c r="K50" s="169">
        <f>12000*13.8%</f>
        <v>1656.0000000000002</v>
      </c>
      <c r="L50" s="170"/>
    </row>
    <row r="51" spans="1:12" s="19" customFormat="1">
      <c r="A51" s="29">
        <v>28</v>
      </c>
      <c r="B51" s="149" t="s">
        <v>117</v>
      </c>
      <c r="C51" s="150"/>
      <c r="D51" s="150"/>
      <c r="E51" s="150"/>
      <c r="F51" s="150"/>
      <c r="G51" s="150"/>
      <c r="H51" s="166"/>
      <c r="I51" s="141" t="s">
        <v>96</v>
      </c>
      <c r="J51" s="29">
        <v>1</v>
      </c>
      <c r="K51" s="169">
        <f>11280.02/3</f>
        <v>3760.0066666666667</v>
      </c>
      <c r="L51" s="170"/>
    </row>
    <row r="52" spans="1:12" s="19" customFormat="1">
      <c r="A52" s="29">
        <v>29</v>
      </c>
      <c r="B52" s="149" t="s">
        <v>140</v>
      </c>
      <c r="C52" s="150"/>
      <c r="D52" s="150"/>
      <c r="E52" s="150"/>
      <c r="F52" s="150"/>
      <c r="G52" s="150"/>
      <c r="H52" s="166"/>
      <c r="I52" s="140" t="s">
        <v>96</v>
      </c>
      <c r="J52" s="29">
        <v>1</v>
      </c>
      <c r="K52" s="169">
        <f>8439/5</f>
        <v>1687.8</v>
      </c>
      <c r="L52" s="170"/>
    </row>
    <row r="53" spans="1:12" s="19" customFormat="1">
      <c r="A53" s="29">
        <v>30</v>
      </c>
      <c r="B53" s="149" t="s">
        <v>118</v>
      </c>
      <c r="C53" s="150"/>
      <c r="D53" s="150"/>
      <c r="E53" s="150"/>
      <c r="F53" s="150"/>
      <c r="G53" s="150"/>
      <c r="H53" s="166"/>
      <c r="I53" s="140" t="s">
        <v>96</v>
      </c>
      <c r="J53" s="29">
        <v>1</v>
      </c>
      <c r="K53" s="169">
        <f>1610/9</f>
        <v>178.88888888888889</v>
      </c>
      <c r="L53" s="170"/>
    </row>
    <row r="54" spans="1:12" s="19" customFormat="1">
      <c r="A54" s="29">
        <v>31</v>
      </c>
      <c r="B54" s="149" t="s">
        <v>124</v>
      </c>
      <c r="C54" s="150"/>
      <c r="D54" s="150"/>
      <c r="E54" s="150"/>
      <c r="F54" s="150"/>
      <c r="G54" s="150"/>
      <c r="H54" s="166"/>
      <c r="I54" s="141" t="s">
        <v>96</v>
      </c>
      <c r="J54" s="29">
        <v>1</v>
      </c>
      <c r="K54" s="169">
        <v>2900</v>
      </c>
      <c r="L54" s="170"/>
    </row>
    <row r="55" spans="1:12" s="19" customFormat="1">
      <c r="A55" s="29">
        <v>32</v>
      </c>
      <c r="B55" s="149" t="s">
        <v>119</v>
      </c>
      <c r="C55" s="150"/>
      <c r="D55" s="150"/>
      <c r="E55" s="150"/>
      <c r="F55" s="150"/>
      <c r="G55" s="150"/>
      <c r="H55" s="166"/>
      <c r="I55" s="141" t="s">
        <v>96</v>
      </c>
      <c r="J55" s="29">
        <v>1</v>
      </c>
      <c r="K55" s="169">
        <f>7862*0.5</f>
        <v>3931</v>
      </c>
      <c r="L55" s="170"/>
    </row>
    <row r="56" spans="1:12" s="19" customFormat="1">
      <c r="A56" s="29">
        <v>33</v>
      </c>
      <c r="B56" s="149" t="s">
        <v>120</v>
      </c>
      <c r="C56" s="150"/>
      <c r="D56" s="150"/>
      <c r="E56" s="150"/>
      <c r="F56" s="150"/>
      <c r="G56" s="150"/>
      <c r="H56" s="166"/>
      <c r="I56" s="141" t="s">
        <v>96</v>
      </c>
      <c r="J56" s="29">
        <v>1</v>
      </c>
      <c r="K56" s="169">
        <f>4577*0.5</f>
        <v>2288.5</v>
      </c>
      <c r="L56" s="170"/>
    </row>
    <row r="57" spans="1:12" s="19" customFormat="1">
      <c r="A57" s="29">
        <v>34</v>
      </c>
      <c r="B57" s="149" t="s">
        <v>95</v>
      </c>
      <c r="C57" s="150"/>
      <c r="D57" s="150"/>
      <c r="E57" s="150"/>
      <c r="F57" s="150"/>
      <c r="G57" s="150"/>
      <c r="H57" s="166"/>
      <c r="I57" s="140" t="s">
        <v>96</v>
      </c>
      <c r="J57" s="29">
        <v>1</v>
      </c>
      <c r="K57" s="167">
        <v>6500</v>
      </c>
      <c r="L57" s="168"/>
    </row>
    <row r="58" spans="1:12" s="19" customFormat="1">
      <c r="A58" s="29">
        <v>35</v>
      </c>
      <c r="B58" s="151" t="s">
        <v>171</v>
      </c>
      <c r="C58" s="146"/>
      <c r="D58" s="146"/>
      <c r="E58" s="146"/>
      <c r="F58" s="146"/>
      <c r="G58" s="146"/>
      <c r="H58" s="152"/>
      <c r="I58" s="14" t="s">
        <v>123</v>
      </c>
      <c r="J58" s="106">
        <v>12</v>
      </c>
      <c r="K58" s="222">
        <f>1250/2*12</f>
        <v>7500</v>
      </c>
      <c r="L58" s="223"/>
    </row>
    <row r="59" spans="1:12" s="19" customFormat="1">
      <c r="A59" s="29">
        <v>36</v>
      </c>
      <c r="B59" s="149" t="s">
        <v>121</v>
      </c>
      <c r="C59" s="150"/>
      <c r="D59" s="150"/>
      <c r="E59" s="150"/>
      <c r="F59" s="150"/>
      <c r="G59" s="150"/>
      <c r="H59" s="166"/>
      <c r="I59" s="141" t="s">
        <v>96</v>
      </c>
      <c r="J59" s="29">
        <v>1</v>
      </c>
      <c r="K59" s="167">
        <f>7796/9</f>
        <v>866.22222222222217</v>
      </c>
      <c r="L59" s="168"/>
    </row>
    <row r="60" spans="1:12" s="19" customFormat="1">
      <c r="A60" s="29"/>
      <c r="B60" s="149" t="s">
        <v>143</v>
      </c>
      <c r="C60" s="150"/>
      <c r="D60" s="150"/>
      <c r="E60" s="150"/>
      <c r="F60" s="150"/>
      <c r="G60" s="150"/>
      <c r="H60" s="150"/>
      <c r="I60" s="29"/>
      <c r="J60" s="140"/>
      <c r="K60" s="196">
        <f>SUM(K24:L59)</f>
        <v>138482.11316067592</v>
      </c>
      <c r="L60" s="197"/>
    </row>
    <row r="61" spans="1:12" s="19" customFormat="1">
      <c r="A61" s="29"/>
      <c r="B61" s="149" t="s">
        <v>139</v>
      </c>
      <c r="C61" s="150"/>
      <c r="D61" s="150"/>
      <c r="E61" s="150"/>
      <c r="F61" s="150"/>
      <c r="G61" s="150"/>
      <c r="H61" s="150"/>
      <c r="I61" s="29"/>
      <c r="J61" s="140"/>
      <c r="K61" s="171">
        <f>K60*0.14</f>
        <v>19387.495842494631</v>
      </c>
      <c r="L61" s="172"/>
    </row>
    <row r="62" spans="1:12" ht="15" customHeight="1" thickBot="1">
      <c r="A62" s="29"/>
      <c r="B62" s="34" t="s">
        <v>144</v>
      </c>
      <c r="I62" s="62"/>
      <c r="K62" s="198">
        <f>SUM(K60:L61)</f>
        <v>157869.60900317054</v>
      </c>
      <c r="L62" s="199"/>
    </row>
    <row r="63" spans="1:12" ht="18.75" customHeight="1" thickBot="1">
      <c r="A63" s="63"/>
      <c r="B63" s="64" t="s">
        <v>145</v>
      </c>
      <c r="C63" s="65"/>
      <c r="D63" s="65"/>
      <c r="E63" s="65"/>
      <c r="F63" s="65"/>
      <c r="G63" s="65"/>
      <c r="H63" s="66"/>
      <c r="I63" s="63"/>
      <c r="J63" s="63"/>
      <c r="K63" s="200">
        <f>K62+K23</f>
        <v>299761.40900317056</v>
      </c>
      <c r="L63" s="201"/>
    </row>
    <row r="64" spans="1:12">
      <c r="A64" s="34" t="s">
        <v>21</v>
      </c>
    </row>
    <row r="65" spans="1:12">
      <c r="A65" s="34" t="s">
        <v>23</v>
      </c>
      <c r="D65" s="36">
        <f>I4</f>
        <v>2013</v>
      </c>
      <c r="E65" s="34" t="s">
        <v>24</v>
      </c>
      <c r="G65" s="67">
        <f>K63-G19</f>
        <v>152370.41871190839</v>
      </c>
      <c r="H65" s="34" t="s">
        <v>25</v>
      </c>
    </row>
    <row r="66" spans="1:12" ht="15.75" thickBot="1">
      <c r="A66" s="34" t="s">
        <v>26</v>
      </c>
      <c r="B66" s="36">
        <f>I4</f>
        <v>2013</v>
      </c>
      <c r="C66" s="34" t="s">
        <v>29</v>
      </c>
    </row>
    <row r="67" spans="1:12">
      <c r="A67" s="68" t="s">
        <v>2</v>
      </c>
      <c r="B67" s="202" t="s">
        <v>38</v>
      </c>
      <c r="C67" s="203"/>
      <c r="D67" s="203"/>
      <c r="E67" s="203"/>
      <c r="F67" s="202" t="s">
        <v>39</v>
      </c>
      <c r="G67" s="203"/>
      <c r="H67" s="204"/>
      <c r="I67" s="163" t="s">
        <v>40</v>
      </c>
      <c r="J67" s="164"/>
      <c r="K67" s="164"/>
      <c r="L67" s="165"/>
    </row>
    <row r="68" spans="1:12" ht="15.75" thickBot="1">
      <c r="A68" s="69"/>
      <c r="B68" s="185"/>
      <c r="C68" s="186"/>
      <c r="D68" s="186"/>
      <c r="E68" s="186"/>
      <c r="F68" s="185"/>
      <c r="G68" s="186"/>
      <c r="H68" s="187"/>
      <c r="I68" s="188" t="s">
        <v>174</v>
      </c>
      <c r="J68" s="189"/>
      <c r="K68" s="189"/>
      <c r="L68" s="190"/>
    </row>
    <row r="69" spans="1:12">
      <c r="A69" s="54" t="s">
        <v>32</v>
      </c>
      <c r="B69" s="191" t="s">
        <v>42</v>
      </c>
      <c r="C69" s="191"/>
      <c r="D69" s="191"/>
      <c r="E69" s="192"/>
      <c r="F69" s="193" t="s">
        <v>168</v>
      </c>
      <c r="G69" s="194"/>
      <c r="H69" s="195"/>
      <c r="I69" s="193" t="s">
        <v>146</v>
      </c>
      <c r="J69" s="194"/>
      <c r="K69" s="194"/>
      <c r="L69" s="195"/>
    </row>
    <row r="70" spans="1:12">
      <c r="A70" s="29" t="s">
        <v>33</v>
      </c>
      <c r="B70" s="150" t="s">
        <v>43</v>
      </c>
      <c r="C70" s="150"/>
      <c r="D70" s="150"/>
      <c r="E70" s="166"/>
      <c r="F70" s="182" t="s">
        <v>169</v>
      </c>
      <c r="G70" s="183"/>
      <c r="H70" s="184"/>
      <c r="I70" s="182" t="s">
        <v>47</v>
      </c>
      <c r="J70" s="183"/>
      <c r="K70" s="183"/>
      <c r="L70" s="184"/>
    </row>
    <row r="71" spans="1:12">
      <c r="A71" s="29" t="s">
        <v>34</v>
      </c>
      <c r="B71" s="149" t="s">
        <v>147</v>
      </c>
      <c r="C71" s="150"/>
      <c r="D71" s="150"/>
      <c r="E71" s="166"/>
      <c r="F71" s="182" t="s">
        <v>148</v>
      </c>
      <c r="G71" s="183"/>
      <c r="H71" s="184"/>
      <c r="I71" s="182" t="s">
        <v>149</v>
      </c>
      <c r="J71" s="183"/>
      <c r="K71" s="183"/>
      <c r="L71" s="184"/>
    </row>
    <row r="72" spans="1:12">
      <c r="A72" s="29" t="s">
        <v>35</v>
      </c>
      <c r="B72" s="150" t="s">
        <v>44</v>
      </c>
      <c r="C72" s="150"/>
      <c r="D72" s="150"/>
      <c r="E72" s="166"/>
      <c r="F72" s="182" t="s">
        <v>150</v>
      </c>
      <c r="G72" s="183"/>
      <c r="H72" s="184"/>
      <c r="I72" s="182" t="s">
        <v>151</v>
      </c>
      <c r="J72" s="183"/>
      <c r="K72" s="183"/>
      <c r="L72" s="184"/>
    </row>
    <row r="73" spans="1:12">
      <c r="A73" s="29" t="s">
        <v>36</v>
      </c>
      <c r="B73" s="150" t="s">
        <v>45</v>
      </c>
      <c r="C73" s="150"/>
      <c r="D73" s="150"/>
      <c r="E73" s="166"/>
      <c r="F73" s="182" t="s">
        <v>152</v>
      </c>
      <c r="G73" s="183"/>
      <c r="H73" s="184"/>
      <c r="I73" s="182" t="s">
        <v>153</v>
      </c>
      <c r="J73" s="183"/>
      <c r="K73" s="183"/>
      <c r="L73" s="184"/>
    </row>
    <row r="74" spans="1:12" ht="15.75" thickBot="1">
      <c r="A74" s="70" t="s">
        <v>37</v>
      </c>
      <c r="B74" s="177" t="s">
        <v>46</v>
      </c>
      <c r="C74" s="177"/>
      <c r="D74" s="177"/>
      <c r="E74" s="178"/>
      <c r="F74" s="179" t="s">
        <v>154</v>
      </c>
      <c r="G74" s="180"/>
      <c r="H74" s="181"/>
      <c r="I74" s="179" t="s">
        <v>155</v>
      </c>
      <c r="J74" s="180"/>
      <c r="K74" s="180"/>
      <c r="L74" s="181"/>
    </row>
    <row r="76" spans="1:12">
      <c r="A76" s="71" t="s">
        <v>51</v>
      </c>
      <c r="B76" s="36">
        <v>2013</v>
      </c>
      <c r="C76" s="34" t="s">
        <v>52</v>
      </c>
    </row>
    <row r="77" spans="1:12">
      <c r="A77" s="28" t="s">
        <v>105</v>
      </c>
    </row>
    <row r="78" spans="1:12">
      <c r="A78" s="44" t="s">
        <v>48</v>
      </c>
    </row>
    <row r="79" spans="1:12">
      <c r="A79" s="28" t="s">
        <v>49</v>
      </c>
      <c r="F79" s="81">
        <f>H98</f>
        <v>6.8867996350664544</v>
      </c>
      <c r="G79" s="34" t="s">
        <v>50</v>
      </c>
    </row>
    <row r="80" spans="1:12">
      <c r="A80" s="28" t="s">
        <v>109</v>
      </c>
      <c r="E80" s="36">
        <v>2012</v>
      </c>
      <c r="F80" s="34" t="s">
        <v>110</v>
      </c>
      <c r="K80" s="142">
        <v>2013</v>
      </c>
      <c r="L80" s="34" t="s">
        <v>111</v>
      </c>
    </row>
    <row r="81" spans="1:12">
      <c r="A81" s="28" t="s">
        <v>112</v>
      </c>
    </row>
    <row r="82" spans="1:12">
      <c r="A82" s="28" t="s">
        <v>113</v>
      </c>
    </row>
    <row r="83" spans="1:12">
      <c r="A83" s="28" t="s">
        <v>114</v>
      </c>
    </row>
    <row r="84" spans="1:12">
      <c r="A84" s="28" t="s">
        <v>115</v>
      </c>
    </row>
    <row r="85" spans="1:12">
      <c r="A85" s="72"/>
      <c r="B85" s="73"/>
      <c r="C85" s="73"/>
      <c r="D85" s="73"/>
      <c r="E85" s="73"/>
      <c r="F85" s="73"/>
      <c r="G85" s="73"/>
      <c r="H85" s="73"/>
      <c r="I85" s="73"/>
      <c r="J85" s="73"/>
      <c r="K85" s="73"/>
    </row>
    <row r="86" spans="1:12">
      <c r="A86" s="28" t="s">
        <v>53</v>
      </c>
      <c r="B86" s="36">
        <f>I4+1</f>
        <v>2014</v>
      </c>
      <c r="C86" s="34" t="s">
        <v>54</v>
      </c>
    </row>
    <row r="87" spans="1:12">
      <c r="A87" s="28" t="s">
        <v>55</v>
      </c>
    </row>
    <row r="88" spans="1:12">
      <c r="A88" s="28" t="s">
        <v>56</v>
      </c>
      <c r="J88" s="42">
        <v>15000</v>
      </c>
      <c r="K88" s="34" t="s">
        <v>10</v>
      </c>
    </row>
    <row r="89" spans="1:12">
      <c r="A89" s="175" t="s">
        <v>79</v>
      </c>
      <c r="B89" s="175"/>
      <c r="C89" s="175"/>
      <c r="D89" s="175"/>
      <c r="E89" s="175"/>
      <c r="J89" s="42">
        <v>10000</v>
      </c>
      <c r="K89" s="34" t="s">
        <v>10</v>
      </c>
    </row>
    <row r="90" spans="1:12">
      <c r="A90" s="28" t="s">
        <v>57</v>
      </c>
      <c r="J90" s="42">
        <v>1500</v>
      </c>
      <c r="K90" s="34" t="s">
        <v>10</v>
      </c>
    </row>
    <row r="91" spans="1:12">
      <c r="A91" s="28" t="s">
        <v>78</v>
      </c>
      <c r="J91" s="42">
        <v>15000</v>
      </c>
      <c r="K91" s="34" t="s">
        <v>10</v>
      </c>
    </row>
    <row r="92" spans="1:12">
      <c r="A92" s="28" t="s">
        <v>58</v>
      </c>
      <c r="J92" s="42">
        <v>8000</v>
      </c>
      <c r="K92" s="34" t="s">
        <v>10</v>
      </c>
    </row>
    <row r="93" spans="1:12">
      <c r="A93" s="28" t="s">
        <v>59</v>
      </c>
      <c r="J93" s="42">
        <v>8000</v>
      </c>
      <c r="K93" s="34" t="s">
        <v>10</v>
      </c>
    </row>
    <row r="94" spans="1:12">
      <c r="A94" s="26" t="s">
        <v>172</v>
      </c>
      <c r="B94"/>
      <c r="C94"/>
      <c r="D94"/>
      <c r="E94"/>
      <c r="F94"/>
      <c r="G94"/>
      <c r="H94"/>
      <c r="I94"/>
      <c r="J94" s="83">
        <v>7500</v>
      </c>
      <c r="K94" s="19" t="s">
        <v>10</v>
      </c>
      <c r="L94" s="19"/>
    </row>
    <row r="95" spans="1:12">
      <c r="A95" s="26" t="s">
        <v>173</v>
      </c>
      <c r="B95"/>
      <c r="C95"/>
      <c r="D95"/>
      <c r="E95"/>
      <c r="F95"/>
      <c r="G95"/>
      <c r="H95"/>
      <c r="I95"/>
      <c r="J95" s="83">
        <v>3200</v>
      </c>
      <c r="K95" s="19" t="s">
        <v>10</v>
      </c>
      <c r="L95" s="19"/>
    </row>
    <row r="96" spans="1:12">
      <c r="A96" s="74" t="s">
        <v>60</v>
      </c>
      <c r="J96" s="38">
        <f>SUM(J88:J95)</f>
        <v>68200</v>
      </c>
      <c r="K96" s="75" t="s">
        <v>61</v>
      </c>
    </row>
    <row r="97" spans="1:12">
      <c r="A97" s="28" t="s">
        <v>62</v>
      </c>
      <c r="H97" s="36">
        <f>I4</f>
        <v>2013</v>
      </c>
      <c r="I97" s="34" t="s">
        <v>70</v>
      </c>
      <c r="K97" s="38">
        <f>G65</f>
        <v>152370.41871190839</v>
      </c>
    </row>
    <row r="98" spans="1:12">
      <c r="A98" s="28" t="s">
        <v>63</v>
      </c>
      <c r="C98" s="67">
        <f>J96+K97</f>
        <v>220570.41871190839</v>
      </c>
      <c r="D98" s="36" t="s">
        <v>64</v>
      </c>
      <c r="E98" s="76">
        <f>I4+1</f>
        <v>2014</v>
      </c>
      <c r="F98" s="34" t="s">
        <v>66</v>
      </c>
      <c r="H98" s="41">
        <f>C98/(E6*12)</f>
        <v>6.8867996350664544</v>
      </c>
      <c r="I98" s="34" t="s">
        <v>67</v>
      </c>
    </row>
    <row r="100" spans="1:12">
      <c r="B100" s="34" t="s">
        <v>68</v>
      </c>
    </row>
    <row r="101" spans="1:12">
      <c r="B101" s="34" t="s">
        <v>39</v>
      </c>
      <c r="I101" s="34" t="s">
        <v>69</v>
      </c>
    </row>
    <row r="102" spans="1:12">
      <c r="J102" s="36"/>
      <c r="K102" s="77" t="s">
        <v>170</v>
      </c>
    </row>
    <row r="103" spans="1:12">
      <c r="A103" s="176"/>
      <c r="B103" s="176"/>
      <c r="C103" s="176"/>
      <c r="D103" s="176"/>
      <c r="E103" s="176"/>
      <c r="F103" s="176"/>
      <c r="G103" s="176"/>
      <c r="H103" s="176"/>
      <c r="I103" s="176"/>
      <c r="J103" s="176"/>
      <c r="K103" s="176"/>
    </row>
    <row r="111" spans="1:12">
      <c r="L111" s="78"/>
    </row>
  </sheetData>
  <mergeCells count="112">
    <mergeCell ref="A2:L2"/>
    <mergeCell ref="A3:L3"/>
    <mergeCell ref="A7:B7"/>
    <mergeCell ref="A20:B20"/>
    <mergeCell ref="B21:H21"/>
    <mergeCell ref="K21:L21"/>
    <mergeCell ref="B22:H22"/>
    <mergeCell ref="K22:L22"/>
    <mergeCell ref="B23:H23"/>
    <mergeCell ref="K23:L23"/>
    <mergeCell ref="B24:H24"/>
    <mergeCell ref="K24:L24"/>
    <mergeCell ref="B28:H28"/>
    <mergeCell ref="K28:L28"/>
    <mergeCell ref="B26:H26"/>
    <mergeCell ref="K26:L26"/>
    <mergeCell ref="B27:H27"/>
    <mergeCell ref="K27:L27"/>
    <mergeCell ref="B40:H40"/>
    <mergeCell ref="K40:L40"/>
    <mergeCell ref="B25:H25"/>
    <mergeCell ref="K25:L25"/>
    <mergeCell ref="B29:H29"/>
    <mergeCell ref="K29:L29"/>
    <mergeCell ref="B30:H30"/>
    <mergeCell ref="K30:L30"/>
    <mergeCell ref="K32:L32"/>
    <mergeCell ref="B31:H31"/>
    <mergeCell ref="K31:L31"/>
    <mergeCell ref="B33:H33"/>
    <mergeCell ref="K33:L33"/>
    <mergeCell ref="K49:L49"/>
    <mergeCell ref="B48:H48"/>
    <mergeCell ref="K48:L48"/>
    <mergeCell ref="B41:H41"/>
    <mergeCell ref="K41:L41"/>
    <mergeCell ref="B34:H34"/>
    <mergeCell ref="K34:L34"/>
    <mergeCell ref="B35:H35"/>
    <mergeCell ref="K35:L35"/>
    <mergeCell ref="B36:H36"/>
    <mergeCell ref="K36:L36"/>
    <mergeCell ref="B52:H52"/>
    <mergeCell ref="K52:L52"/>
    <mergeCell ref="B45:H45"/>
    <mergeCell ref="K45:L45"/>
    <mergeCell ref="B46:H46"/>
    <mergeCell ref="K46:L46"/>
    <mergeCell ref="B47:H47"/>
    <mergeCell ref="K47:L47"/>
    <mergeCell ref="B37:H37"/>
    <mergeCell ref="K37:L37"/>
    <mergeCell ref="B38:H38"/>
    <mergeCell ref="K38:L38"/>
    <mergeCell ref="B43:H43"/>
    <mergeCell ref="K43:L43"/>
    <mergeCell ref="B44:H44"/>
    <mergeCell ref="K44:L44"/>
    <mergeCell ref="K50:L50"/>
    <mergeCell ref="B42:H42"/>
    <mergeCell ref="B51:H51"/>
    <mergeCell ref="K51:L51"/>
    <mergeCell ref="B39:H39"/>
    <mergeCell ref="K39:L39"/>
    <mergeCell ref="K42:L42"/>
    <mergeCell ref="B49:H49"/>
    <mergeCell ref="B70:E70"/>
    <mergeCell ref="F70:H70"/>
    <mergeCell ref="I70:L70"/>
    <mergeCell ref="B71:E71"/>
    <mergeCell ref="F71:H71"/>
    <mergeCell ref="I71:L71"/>
    <mergeCell ref="B53:H53"/>
    <mergeCell ref="K53:L53"/>
    <mergeCell ref="B54:H54"/>
    <mergeCell ref="K54:L54"/>
    <mergeCell ref="F68:H68"/>
    <mergeCell ref="I68:L68"/>
    <mergeCell ref="B55:H55"/>
    <mergeCell ref="K55:L55"/>
    <mergeCell ref="B68:E68"/>
    <mergeCell ref="B69:E69"/>
    <mergeCell ref="F69:H69"/>
    <mergeCell ref="I69:L69"/>
    <mergeCell ref="B60:H60"/>
    <mergeCell ref="K60:L60"/>
    <mergeCell ref="K62:L62"/>
    <mergeCell ref="K63:L63"/>
    <mergeCell ref="B67:E67"/>
    <mergeCell ref="F67:H67"/>
    <mergeCell ref="A89:E89"/>
    <mergeCell ref="A103:K103"/>
    <mergeCell ref="B74:E74"/>
    <mergeCell ref="F74:H74"/>
    <mergeCell ref="I74:L74"/>
    <mergeCell ref="B72:E72"/>
    <mergeCell ref="F72:H72"/>
    <mergeCell ref="I72:L72"/>
    <mergeCell ref="B73:E73"/>
    <mergeCell ref="F73:H73"/>
    <mergeCell ref="I73:L73"/>
    <mergeCell ref="I67:L67"/>
    <mergeCell ref="B57:H57"/>
    <mergeCell ref="K57:L57"/>
    <mergeCell ref="B56:H56"/>
    <mergeCell ref="K56:L56"/>
    <mergeCell ref="B59:H59"/>
    <mergeCell ref="K59:L59"/>
    <mergeCell ref="B61:H61"/>
    <mergeCell ref="K61:L61"/>
    <mergeCell ref="B58:H58"/>
    <mergeCell ref="K58:L58"/>
  </mergeCells>
  <pageMargins left="0.25" right="0.25" top="0.75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90"/>
  <sheetViews>
    <sheetView workbookViewId="0">
      <selection activeCell="O8" sqref="O8"/>
    </sheetView>
  </sheetViews>
  <sheetFormatPr defaultRowHeight="15"/>
  <cols>
    <col min="1" max="1" width="4.7109375" customWidth="1"/>
    <col min="2" max="2" width="8.7109375" style="19" customWidth="1"/>
    <col min="3" max="3" width="10.5703125" style="19" customWidth="1"/>
    <col min="4" max="4" width="7.5703125" style="19" customWidth="1"/>
    <col min="5" max="5" width="8.140625" style="19" customWidth="1"/>
    <col min="6" max="6" width="9.28515625" style="19" customWidth="1"/>
    <col min="7" max="7" width="13.28515625" style="19" customWidth="1"/>
    <col min="8" max="8" width="9.85546875" style="19" customWidth="1"/>
    <col min="9" max="9" width="8.28515625" style="19" customWidth="1"/>
    <col min="10" max="10" width="11.140625" style="19" customWidth="1"/>
    <col min="11" max="11" width="10.28515625" style="19" customWidth="1"/>
    <col min="12" max="12" width="0.85546875" style="19" customWidth="1"/>
    <col min="13" max="13" width="9.140625" style="19"/>
  </cols>
  <sheetData>
    <row r="1" spans="1:12">
      <c r="K1" s="77" t="s">
        <v>170</v>
      </c>
    </row>
    <row r="2" spans="1:12" ht="18.75">
      <c r="A2" s="157" t="s">
        <v>0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18.75">
      <c r="A3" s="157" t="s">
        <v>1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</row>
    <row r="4" spans="1:12" ht="18.75">
      <c r="A4" s="1"/>
      <c r="B4" s="2"/>
      <c r="C4" s="88" t="s">
        <v>2</v>
      </c>
      <c r="D4" s="2">
        <v>6</v>
      </c>
      <c r="E4" s="226" t="s">
        <v>85</v>
      </c>
      <c r="F4" s="226"/>
      <c r="G4" s="226"/>
      <c r="H4" s="226"/>
      <c r="I4" s="2">
        <v>2014</v>
      </c>
      <c r="J4" s="89" t="s">
        <v>22</v>
      </c>
    </row>
    <row r="6" spans="1:12" ht="15.75">
      <c r="A6" s="3" t="s">
        <v>215</v>
      </c>
      <c r="B6" s="21">
        <f>I4</f>
        <v>2014</v>
      </c>
      <c r="C6" s="19" t="s">
        <v>28</v>
      </c>
      <c r="D6" s="90" t="s">
        <v>240</v>
      </c>
      <c r="E6" s="38">
        <v>2669</v>
      </c>
      <c r="F6" s="19" t="s">
        <v>65</v>
      </c>
    </row>
    <row r="7" spans="1:12" ht="15.75">
      <c r="A7" s="158">
        <v>1639193.43</v>
      </c>
      <c r="B7" s="158"/>
      <c r="C7" s="91" t="s">
        <v>3</v>
      </c>
      <c r="G7" s="92">
        <f>A7-J8</f>
        <v>1329972.5499999998</v>
      </c>
      <c r="H7" s="90" t="s">
        <v>216</v>
      </c>
      <c r="I7" s="93">
        <f>(G7/A7)*100</f>
        <v>81.135790667486987</v>
      </c>
      <c r="J7" s="19" t="s">
        <v>4</v>
      </c>
    </row>
    <row r="8" spans="1:12" ht="15.75">
      <c r="A8" t="s">
        <v>81</v>
      </c>
      <c r="J8" s="92">
        <v>309220.88</v>
      </c>
      <c r="K8" s="19" t="s">
        <v>5</v>
      </c>
    </row>
    <row r="9" spans="1:12">
      <c r="A9" t="s">
        <v>80</v>
      </c>
    </row>
    <row r="10" spans="1:12">
      <c r="A10" t="s">
        <v>217</v>
      </c>
      <c r="B10" s="15">
        <v>11044.45</v>
      </c>
      <c r="C10" s="19" t="s">
        <v>10</v>
      </c>
      <c r="E10" s="122" t="s">
        <v>219</v>
      </c>
      <c r="F10" s="15">
        <v>15801.17</v>
      </c>
      <c r="G10" s="19" t="s">
        <v>10</v>
      </c>
      <c r="I10" s="37" t="s">
        <v>164</v>
      </c>
      <c r="J10" s="15">
        <v>66709.78</v>
      </c>
      <c r="K10" s="19" t="s">
        <v>10</v>
      </c>
    </row>
    <row r="11" spans="1:12">
      <c r="A11" t="s">
        <v>218</v>
      </c>
      <c r="B11" s="15">
        <v>24164.77</v>
      </c>
      <c r="C11" s="19" t="s">
        <v>10</v>
      </c>
      <c r="E11" s="122" t="s">
        <v>161</v>
      </c>
      <c r="F11" s="15">
        <v>11013.54</v>
      </c>
      <c r="G11" s="19" t="s">
        <v>10</v>
      </c>
      <c r="I11" s="94"/>
      <c r="J11" s="15"/>
    </row>
    <row r="12" spans="1:12">
      <c r="E12" s="130"/>
      <c r="F12" s="15"/>
      <c r="I12" s="86"/>
      <c r="J12" s="15"/>
    </row>
    <row r="13" spans="1:12" ht="15.75">
      <c r="A13" t="s">
        <v>30</v>
      </c>
      <c r="J13" s="15">
        <f>G14+G15+G16+G17</f>
        <v>309220.88</v>
      </c>
      <c r="K13" s="95" t="s">
        <v>31</v>
      </c>
    </row>
    <row r="14" spans="1:12">
      <c r="A14" s="4" t="s">
        <v>6</v>
      </c>
      <c r="B14" s="19" t="s">
        <v>7</v>
      </c>
      <c r="G14" s="96">
        <f>(J8*43.5/100)</f>
        <v>134511.0828</v>
      </c>
      <c r="H14" s="19" t="s">
        <v>10</v>
      </c>
    </row>
    <row r="15" spans="1:12">
      <c r="A15" s="4" t="s">
        <v>6</v>
      </c>
      <c r="B15" s="19" t="s">
        <v>8</v>
      </c>
      <c r="G15" s="96">
        <f>(J8*36.6/100)</f>
        <v>113174.84208</v>
      </c>
      <c r="H15" s="19" t="s">
        <v>10</v>
      </c>
    </row>
    <row r="16" spans="1:12">
      <c r="A16" s="4" t="s">
        <v>6</v>
      </c>
      <c r="B16" s="19" t="s">
        <v>9</v>
      </c>
      <c r="G16" s="96">
        <f>(J8*12.5/100)</f>
        <v>38652.61</v>
      </c>
      <c r="H16" s="19" t="s">
        <v>10</v>
      </c>
      <c r="K16" s="91"/>
      <c r="L16" s="97"/>
    </row>
    <row r="17" spans="1:22">
      <c r="A17" s="4" t="s">
        <v>6</v>
      </c>
      <c r="B17" s="19" t="s">
        <v>14</v>
      </c>
      <c r="G17" s="96">
        <f>(J8*7.4/100)</f>
        <v>22882.345120000002</v>
      </c>
      <c r="H17" s="19" t="s">
        <v>10</v>
      </c>
    </row>
    <row r="18" spans="1:22">
      <c r="G18" s="98"/>
    </row>
    <row r="19" spans="1:22">
      <c r="A19" s="5" t="s">
        <v>11</v>
      </c>
      <c r="G19" s="96">
        <f>E6*4.74*12</f>
        <v>151812.72000000003</v>
      </c>
      <c r="H19" s="19" t="s">
        <v>12</v>
      </c>
    </row>
    <row r="20" spans="1:22" ht="15.75" thickBot="1">
      <c r="A20" s="159">
        <f>G19*I7/100</f>
        <v>123174.45070581818</v>
      </c>
      <c r="B20" s="159"/>
      <c r="C20" s="19" t="s">
        <v>71</v>
      </c>
    </row>
    <row r="21" spans="1:22">
      <c r="A21" s="6" t="s">
        <v>2</v>
      </c>
      <c r="B21" s="232" t="s">
        <v>20</v>
      </c>
      <c r="C21" s="233"/>
      <c r="D21" s="233"/>
      <c r="E21" s="233"/>
      <c r="F21" s="233"/>
      <c r="G21" s="233"/>
      <c r="H21" s="234"/>
      <c r="I21" s="99" t="s">
        <v>18</v>
      </c>
      <c r="J21" s="100" t="s">
        <v>17</v>
      </c>
      <c r="K21" s="232" t="s">
        <v>15</v>
      </c>
      <c r="L21" s="234"/>
    </row>
    <row r="22" spans="1:22" ht="15.75" thickBot="1">
      <c r="A22" s="7" t="s">
        <v>13</v>
      </c>
      <c r="B22" s="227"/>
      <c r="C22" s="228"/>
      <c r="D22" s="228"/>
      <c r="E22" s="228"/>
      <c r="F22" s="228"/>
      <c r="G22" s="228"/>
      <c r="H22" s="229"/>
      <c r="I22" s="101" t="s">
        <v>19</v>
      </c>
      <c r="J22" s="102"/>
      <c r="K22" s="230" t="s">
        <v>16</v>
      </c>
      <c r="L22" s="231"/>
      <c r="T22" s="84" t="s">
        <v>178</v>
      </c>
      <c r="U22" s="85">
        <v>1896.5</v>
      </c>
      <c r="V22" s="85">
        <f>U22*100/U32</f>
        <v>9.9284304913015653</v>
      </c>
    </row>
    <row r="23" spans="1:22" ht="15.75" thickBot="1">
      <c r="A23" s="9"/>
      <c r="B23" s="235" t="s">
        <v>214</v>
      </c>
      <c r="C23" s="236"/>
      <c r="D23" s="236"/>
      <c r="E23" s="236"/>
      <c r="F23" s="236"/>
      <c r="G23" s="236"/>
      <c r="H23" s="236"/>
      <c r="I23" s="103"/>
      <c r="J23" s="103"/>
      <c r="K23" s="237">
        <f>'2013'!G65</f>
        <v>152370.41871190839</v>
      </c>
      <c r="L23" s="238"/>
      <c r="T23" s="84" t="s">
        <v>179</v>
      </c>
      <c r="U23" s="85">
        <v>1884</v>
      </c>
      <c r="V23" s="85">
        <f>U23*100/U32</f>
        <v>9.8629913238134179</v>
      </c>
    </row>
    <row r="24" spans="1:22">
      <c r="A24" s="10">
        <v>1</v>
      </c>
      <c r="B24" s="151" t="s">
        <v>220</v>
      </c>
      <c r="C24" s="146"/>
      <c r="D24" s="146"/>
      <c r="E24" s="146"/>
      <c r="F24" s="146"/>
      <c r="G24" s="146"/>
      <c r="H24" s="146"/>
      <c r="I24" s="104" t="s">
        <v>97</v>
      </c>
      <c r="J24" s="14">
        <v>10</v>
      </c>
      <c r="K24" s="155">
        <f>45100*0.139</f>
        <v>6268.9000000000005</v>
      </c>
      <c r="L24" s="156"/>
      <c r="N24" t="s">
        <v>177</v>
      </c>
      <c r="Q24" s="17" t="s">
        <v>176</v>
      </c>
      <c r="T24" s="84" t="s">
        <v>180</v>
      </c>
      <c r="U24" s="85">
        <v>2654.9</v>
      </c>
      <c r="V24" s="85">
        <f>U24*100/U32</f>
        <v>13.898755661142379</v>
      </c>
    </row>
    <row r="25" spans="1:22">
      <c r="A25" s="10">
        <v>2</v>
      </c>
      <c r="B25" s="149" t="s">
        <v>224</v>
      </c>
      <c r="C25" s="225"/>
      <c r="D25" s="225"/>
      <c r="E25" s="225"/>
      <c r="F25" s="225"/>
      <c r="G25" s="225"/>
      <c r="H25" s="150"/>
      <c r="I25" s="104" t="s">
        <v>96</v>
      </c>
      <c r="J25" s="14">
        <v>1</v>
      </c>
      <c r="K25" s="153">
        <f>37671*0.0631</f>
        <v>2377.0401000000002</v>
      </c>
      <c r="L25" s="154"/>
      <c r="N25" t="s">
        <v>127</v>
      </c>
      <c r="T25" s="84" t="s">
        <v>181</v>
      </c>
      <c r="U25" s="85">
        <v>2639.3</v>
      </c>
      <c r="V25" s="85">
        <f>U25*100/U32</f>
        <v>13.817087580117173</v>
      </c>
    </row>
    <row r="26" spans="1:22">
      <c r="A26" s="10">
        <v>3</v>
      </c>
      <c r="B26" s="149" t="s">
        <v>128</v>
      </c>
      <c r="C26" s="225"/>
      <c r="D26" s="225"/>
      <c r="E26" s="225"/>
      <c r="F26" s="225"/>
      <c r="G26" s="225"/>
      <c r="H26" s="150"/>
      <c r="I26" s="105"/>
      <c r="J26" s="14"/>
      <c r="K26" s="155">
        <f>(8400+23043.2)*0.1085</f>
        <v>3411.5871999999999</v>
      </c>
      <c r="L26" s="156"/>
      <c r="T26" s="84" t="s">
        <v>182</v>
      </c>
      <c r="U26" s="85">
        <v>1831.61</v>
      </c>
      <c r="V26" s="85">
        <f>U26*100/U32</f>
        <v>9.5887226850370997</v>
      </c>
    </row>
    <row r="27" spans="1:22">
      <c r="A27" s="10">
        <v>4</v>
      </c>
      <c r="B27" s="149" t="s">
        <v>89</v>
      </c>
      <c r="C27" s="150"/>
      <c r="D27" s="150"/>
      <c r="E27" s="150"/>
      <c r="F27" s="150"/>
      <c r="G27" s="150"/>
      <c r="H27" s="150"/>
      <c r="I27" s="29" t="s">
        <v>166</v>
      </c>
      <c r="J27" s="29">
        <v>408</v>
      </c>
      <c r="K27" s="167">
        <v>8000</v>
      </c>
      <c r="L27" s="168"/>
      <c r="N27" t="s">
        <v>175</v>
      </c>
      <c r="Q27" s="17" t="s">
        <v>176</v>
      </c>
      <c r="T27" s="84" t="s">
        <v>183</v>
      </c>
      <c r="U27" s="85">
        <v>1871.9</v>
      </c>
      <c r="V27" s="85">
        <f>U27*100/U32</f>
        <v>9.7996462096848926</v>
      </c>
    </row>
    <row r="28" spans="1:22">
      <c r="A28" s="10">
        <v>5</v>
      </c>
      <c r="B28" s="151" t="s">
        <v>221</v>
      </c>
      <c r="C28" s="146"/>
      <c r="D28" s="146"/>
      <c r="E28" s="146"/>
      <c r="F28" s="146"/>
      <c r="G28" s="146"/>
      <c r="H28" s="146"/>
      <c r="I28" s="104" t="s">
        <v>97</v>
      </c>
      <c r="J28" s="14">
        <v>14</v>
      </c>
      <c r="K28" s="155">
        <f>61100*0.139</f>
        <v>8492.9000000000015</v>
      </c>
      <c r="L28" s="156"/>
      <c r="N28" t="s">
        <v>187</v>
      </c>
      <c r="Q28" s="17" t="s">
        <v>176</v>
      </c>
      <c r="T28" s="84" t="s">
        <v>184</v>
      </c>
      <c r="U28" s="85">
        <v>2277.5</v>
      </c>
      <c r="V28" s="85">
        <f>U28*100/U32</f>
        <v>11.923016316340265</v>
      </c>
    </row>
    <row r="29" spans="1:22">
      <c r="A29" s="10">
        <v>6</v>
      </c>
      <c r="B29" s="151" t="s">
        <v>225</v>
      </c>
      <c r="C29" s="146"/>
      <c r="D29" s="146"/>
      <c r="E29" s="146"/>
      <c r="F29" s="146"/>
      <c r="G29" s="146"/>
      <c r="H29" s="146"/>
      <c r="I29" s="14" t="s">
        <v>96</v>
      </c>
      <c r="J29" s="14">
        <v>3</v>
      </c>
      <c r="K29" s="155">
        <v>430</v>
      </c>
      <c r="L29" s="156"/>
      <c r="N29" t="s">
        <v>188</v>
      </c>
      <c r="P29" s="17"/>
      <c r="T29" s="84" t="s">
        <v>185</v>
      </c>
      <c r="U29" s="85">
        <v>2209.6999999999998</v>
      </c>
      <c r="V29" s="85">
        <f>U29*100/U32</f>
        <v>11.568074271884559</v>
      </c>
    </row>
    <row r="30" spans="1:22">
      <c r="A30" s="10">
        <v>7</v>
      </c>
      <c r="B30" s="149" t="s">
        <v>191</v>
      </c>
      <c r="C30" s="224"/>
      <c r="D30" s="224"/>
      <c r="E30" s="224"/>
      <c r="F30" s="224"/>
      <c r="G30" s="224"/>
      <c r="H30" s="224"/>
      <c r="I30" s="14" t="s">
        <v>96</v>
      </c>
      <c r="J30" s="14">
        <v>30</v>
      </c>
      <c r="K30" s="155">
        <f>13640*0.139</f>
        <v>1895.9600000000003</v>
      </c>
      <c r="L30" s="156"/>
      <c r="N30" t="s">
        <v>189</v>
      </c>
      <c r="O30" t="s">
        <v>190</v>
      </c>
      <c r="Q30" s="17" t="s">
        <v>176</v>
      </c>
      <c r="T30" s="84" t="s">
        <v>186</v>
      </c>
      <c r="U30" s="85">
        <v>1836.3</v>
      </c>
      <c r="V30" s="85">
        <f>U30*100/U32</f>
        <v>9.6132754606786524</v>
      </c>
    </row>
    <row r="31" spans="1:22">
      <c r="A31" s="10">
        <v>8</v>
      </c>
      <c r="B31" s="151" t="s">
        <v>192</v>
      </c>
      <c r="C31" s="146"/>
      <c r="D31" s="146"/>
      <c r="E31" s="146"/>
      <c r="F31" s="146"/>
      <c r="G31" s="146"/>
      <c r="H31" s="152"/>
      <c r="I31" s="18" t="s">
        <v>96</v>
      </c>
      <c r="J31" s="14">
        <v>3</v>
      </c>
      <c r="K31" s="155">
        <f>19200/4</f>
        <v>4800</v>
      </c>
      <c r="L31" s="156"/>
      <c r="N31" t="s">
        <v>226</v>
      </c>
      <c r="T31" s="84"/>
      <c r="U31" s="85"/>
      <c r="V31" s="85"/>
    </row>
    <row r="32" spans="1:22">
      <c r="A32" s="10">
        <v>9</v>
      </c>
      <c r="B32" s="151" t="s">
        <v>193</v>
      </c>
      <c r="C32" s="146"/>
      <c r="D32" s="146"/>
      <c r="E32" s="146"/>
      <c r="F32" s="146"/>
      <c r="G32" s="146"/>
      <c r="H32" s="146"/>
      <c r="I32" s="14" t="s">
        <v>104</v>
      </c>
      <c r="J32" s="60">
        <v>313</v>
      </c>
      <c r="K32" s="220">
        <v>2758</v>
      </c>
      <c r="L32" s="221"/>
      <c r="N32" t="s">
        <v>194</v>
      </c>
      <c r="U32" s="11">
        <f>SUM(U22:U31)</f>
        <v>19101.71</v>
      </c>
    </row>
    <row r="33" spans="1:18">
      <c r="A33" s="10">
        <v>10</v>
      </c>
      <c r="B33" s="151" t="s">
        <v>171</v>
      </c>
      <c r="C33" s="146"/>
      <c r="D33" s="146"/>
      <c r="E33" s="146"/>
      <c r="F33" s="146"/>
      <c r="G33" s="146"/>
      <c r="H33" s="152"/>
      <c r="I33" s="14" t="s">
        <v>123</v>
      </c>
      <c r="J33" s="106">
        <v>12</v>
      </c>
      <c r="K33" s="222">
        <f>1250/2*12</f>
        <v>7500</v>
      </c>
      <c r="L33" s="223"/>
    </row>
    <row r="34" spans="1:18">
      <c r="A34" s="10">
        <v>11</v>
      </c>
      <c r="B34" s="151" t="s">
        <v>230</v>
      </c>
      <c r="C34" s="146"/>
      <c r="D34" s="146"/>
      <c r="E34" s="146"/>
      <c r="F34" s="146"/>
      <c r="G34" s="146"/>
      <c r="H34" s="152"/>
      <c r="I34" s="14" t="s">
        <v>96</v>
      </c>
      <c r="J34" s="14">
        <v>3</v>
      </c>
      <c r="K34" s="155">
        <v>257</v>
      </c>
      <c r="L34" s="156"/>
      <c r="N34" t="s">
        <v>227</v>
      </c>
    </row>
    <row r="35" spans="1:18">
      <c r="A35" s="10">
        <v>12</v>
      </c>
      <c r="B35" s="151" t="s">
        <v>199</v>
      </c>
      <c r="C35" s="146"/>
      <c r="D35" s="146"/>
      <c r="E35" s="146"/>
      <c r="F35" s="146"/>
      <c r="G35" s="146"/>
      <c r="H35" s="152"/>
      <c r="I35" s="10" t="s">
        <v>198</v>
      </c>
      <c r="J35" s="82">
        <v>1</v>
      </c>
      <c r="K35" s="173">
        <f>3200*0.139</f>
        <v>444.80000000000007</v>
      </c>
      <c r="L35" s="174"/>
      <c r="N35" s="11" t="s">
        <v>228</v>
      </c>
      <c r="R35" s="17"/>
    </row>
    <row r="36" spans="1:18">
      <c r="A36" s="10">
        <v>13</v>
      </c>
      <c r="B36" s="151" t="s">
        <v>222</v>
      </c>
      <c r="C36" s="146"/>
      <c r="D36" s="146"/>
      <c r="E36" s="146"/>
      <c r="F36" s="146"/>
      <c r="G36" s="146"/>
      <c r="H36" s="152"/>
      <c r="I36" s="14" t="s">
        <v>101</v>
      </c>
      <c r="J36" s="82">
        <v>5</v>
      </c>
      <c r="K36" s="173">
        <f>6500*0.139</f>
        <v>903.50000000000011</v>
      </c>
      <c r="L36" s="174"/>
      <c r="M36"/>
      <c r="N36" s="11" t="s">
        <v>228</v>
      </c>
    </row>
    <row r="37" spans="1:18">
      <c r="A37" s="10">
        <v>14</v>
      </c>
      <c r="B37" s="151" t="s">
        <v>223</v>
      </c>
      <c r="C37" s="146"/>
      <c r="D37" s="146"/>
      <c r="E37" s="146"/>
      <c r="F37" s="146"/>
      <c r="G37" s="146"/>
      <c r="H37" s="152"/>
      <c r="I37" s="14" t="s">
        <v>101</v>
      </c>
      <c r="J37" s="82">
        <v>3</v>
      </c>
      <c r="K37" s="173">
        <f>2400*0.139</f>
        <v>333.6</v>
      </c>
      <c r="L37" s="174"/>
      <c r="M37"/>
      <c r="N37" s="11" t="s">
        <v>228</v>
      </c>
    </row>
    <row r="38" spans="1:18">
      <c r="A38" s="10">
        <v>15</v>
      </c>
      <c r="B38" s="151" t="s">
        <v>200</v>
      </c>
      <c r="C38" s="146"/>
      <c r="D38" s="146"/>
      <c r="E38" s="146"/>
      <c r="F38" s="146"/>
      <c r="G38" s="146"/>
      <c r="H38" s="146"/>
      <c r="I38" s="14" t="s">
        <v>98</v>
      </c>
      <c r="J38" s="14">
        <v>8</v>
      </c>
      <c r="K38" s="155">
        <v>6097</v>
      </c>
      <c r="L38" s="156"/>
      <c r="M38"/>
      <c r="N38" s="11" t="s">
        <v>201</v>
      </c>
    </row>
    <row r="39" spans="1:18">
      <c r="A39" s="10">
        <v>16</v>
      </c>
      <c r="B39" s="151" t="s">
        <v>204</v>
      </c>
      <c r="C39" s="146"/>
      <c r="D39" s="146"/>
      <c r="E39" s="146"/>
      <c r="F39" s="146"/>
      <c r="G39" s="146"/>
      <c r="H39" s="146"/>
      <c r="I39" s="10" t="s">
        <v>104</v>
      </c>
      <c r="J39" s="111">
        <v>313</v>
      </c>
      <c r="K39" s="147">
        <v>2758</v>
      </c>
      <c r="L39" s="148"/>
      <c r="N39" s="11" t="s">
        <v>202</v>
      </c>
    </row>
    <row r="40" spans="1:18">
      <c r="A40" s="10">
        <v>17</v>
      </c>
      <c r="B40" s="151" t="s">
        <v>229</v>
      </c>
      <c r="C40" s="146"/>
      <c r="D40" s="146"/>
      <c r="E40" s="146"/>
      <c r="F40" s="146"/>
      <c r="G40" s="146"/>
      <c r="H40" s="152"/>
      <c r="I40" s="10" t="s">
        <v>96</v>
      </c>
      <c r="J40" s="10">
        <v>3</v>
      </c>
      <c r="K40" s="147">
        <v>150</v>
      </c>
      <c r="L40" s="148"/>
      <c r="M40"/>
      <c r="N40" s="11" t="s">
        <v>203</v>
      </c>
    </row>
    <row r="41" spans="1:18">
      <c r="A41" s="10">
        <v>18</v>
      </c>
      <c r="B41" s="149" t="s">
        <v>125</v>
      </c>
      <c r="C41" s="150"/>
      <c r="D41" s="150"/>
      <c r="E41" s="150"/>
      <c r="F41" s="150"/>
      <c r="G41" s="150"/>
      <c r="H41" s="150"/>
      <c r="I41" s="29" t="s">
        <v>96</v>
      </c>
      <c r="J41" s="112">
        <v>2</v>
      </c>
      <c r="K41" s="147">
        <f>380*2*0.5</f>
        <v>380</v>
      </c>
      <c r="L41" s="148"/>
      <c r="M41"/>
    </row>
    <row r="42" spans="1:18">
      <c r="A42" s="10">
        <v>19</v>
      </c>
      <c r="B42" s="149" t="s">
        <v>126</v>
      </c>
      <c r="C42" s="150"/>
      <c r="D42" s="150"/>
      <c r="E42" s="150"/>
      <c r="F42" s="150"/>
      <c r="G42" s="150"/>
      <c r="H42" s="150"/>
      <c r="I42" s="29" t="s">
        <v>96</v>
      </c>
      <c r="J42" s="112">
        <v>2</v>
      </c>
      <c r="K42" s="160">
        <f>250*2*0.5</f>
        <v>250</v>
      </c>
      <c r="L42" s="161"/>
    </row>
    <row r="43" spans="1:18">
      <c r="A43" s="10">
        <v>20</v>
      </c>
      <c r="B43" s="131" t="s">
        <v>239</v>
      </c>
      <c r="C43" s="132"/>
      <c r="D43" s="132"/>
      <c r="E43" s="132"/>
      <c r="F43" s="132"/>
      <c r="G43" s="132"/>
      <c r="H43" s="132"/>
      <c r="I43" s="29" t="s">
        <v>98</v>
      </c>
      <c r="J43" s="129">
        <v>60</v>
      </c>
      <c r="K43" s="160">
        <v>15626.17</v>
      </c>
      <c r="L43" s="161"/>
      <c r="N43" s="11" t="s">
        <v>238</v>
      </c>
    </row>
    <row r="44" spans="1:18">
      <c r="A44" s="10">
        <v>21</v>
      </c>
      <c r="B44" s="151" t="s">
        <v>205</v>
      </c>
      <c r="C44" s="146"/>
      <c r="D44" s="146"/>
      <c r="E44" s="146"/>
      <c r="F44" s="146"/>
      <c r="G44" s="146"/>
      <c r="H44" s="146"/>
      <c r="I44" s="14" t="s">
        <v>96</v>
      </c>
      <c r="J44" s="14">
        <v>1</v>
      </c>
      <c r="K44" s="155">
        <f>11100+6000</f>
        <v>17100</v>
      </c>
      <c r="L44" s="156"/>
      <c r="N44" s="11" t="s">
        <v>206</v>
      </c>
    </row>
    <row r="45" spans="1:18">
      <c r="A45" s="10">
        <v>22</v>
      </c>
      <c r="B45" s="151" t="s">
        <v>207</v>
      </c>
      <c r="C45" s="146"/>
      <c r="D45" s="146"/>
      <c r="E45" s="146"/>
      <c r="F45" s="146"/>
      <c r="G45" s="146"/>
      <c r="H45" s="146"/>
      <c r="I45" s="10" t="s">
        <v>208</v>
      </c>
      <c r="J45" s="113" t="s">
        <v>208</v>
      </c>
      <c r="K45" s="218">
        <v>5000</v>
      </c>
      <c r="L45" s="219"/>
      <c r="R45" s="17"/>
    </row>
    <row r="46" spans="1:18">
      <c r="A46" s="10">
        <v>23</v>
      </c>
      <c r="B46" s="151" t="s">
        <v>209</v>
      </c>
      <c r="C46" s="146"/>
      <c r="D46" s="146"/>
      <c r="E46" s="146"/>
      <c r="F46" s="146"/>
      <c r="G46" s="146"/>
      <c r="H46" s="152"/>
      <c r="I46" s="10" t="s">
        <v>96</v>
      </c>
      <c r="J46" s="114">
        <v>1</v>
      </c>
      <c r="K46" s="169">
        <v>6500</v>
      </c>
      <c r="L46" s="170"/>
    </row>
    <row r="47" spans="1:18">
      <c r="A47" s="10">
        <v>24</v>
      </c>
      <c r="B47" s="151" t="s">
        <v>231</v>
      </c>
      <c r="C47" s="146"/>
      <c r="D47" s="146"/>
      <c r="E47" s="146"/>
      <c r="F47" s="146"/>
      <c r="G47" s="146"/>
      <c r="H47" s="146"/>
      <c r="I47" s="14" t="s">
        <v>96</v>
      </c>
      <c r="J47" s="14">
        <v>10</v>
      </c>
      <c r="K47" s="155">
        <f>4806+7000</f>
        <v>11806</v>
      </c>
      <c r="L47" s="156"/>
      <c r="N47" t="s">
        <v>232</v>
      </c>
    </row>
    <row r="48" spans="1:18">
      <c r="A48" s="10">
        <v>25</v>
      </c>
      <c r="B48" s="151" t="s">
        <v>121</v>
      </c>
      <c r="C48" s="146"/>
      <c r="D48" s="146"/>
      <c r="E48" s="146"/>
      <c r="F48" s="146"/>
      <c r="G48" s="146"/>
      <c r="H48" s="152"/>
      <c r="I48" s="14" t="s">
        <v>96</v>
      </c>
      <c r="J48" s="10">
        <v>1</v>
      </c>
      <c r="K48" s="160">
        <f>20298/9</f>
        <v>2255.3333333333335</v>
      </c>
      <c r="L48" s="161"/>
    </row>
    <row r="49" spans="1:12">
      <c r="A49" s="29"/>
      <c r="B49" s="151" t="s">
        <v>195</v>
      </c>
      <c r="C49" s="146"/>
      <c r="D49" s="146"/>
      <c r="E49" s="146"/>
      <c r="F49" s="146"/>
      <c r="G49" s="146"/>
      <c r="H49" s="146"/>
      <c r="I49" s="29"/>
      <c r="J49" s="87"/>
      <c r="K49" s="196">
        <f>SUM(K24:L48)</f>
        <v>115795.79063333334</v>
      </c>
      <c r="L49" s="197"/>
    </row>
    <row r="50" spans="1:12">
      <c r="A50" s="29"/>
      <c r="B50" s="151" t="s">
        <v>241</v>
      </c>
      <c r="C50" s="146"/>
      <c r="D50" s="146"/>
      <c r="E50" s="146"/>
      <c r="F50" s="146"/>
      <c r="G50" s="146"/>
      <c r="H50" s="146"/>
      <c r="I50" s="29"/>
      <c r="J50" s="87"/>
      <c r="K50" s="171">
        <f>K49*0.14</f>
        <v>16211.410688666669</v>
      </c>
      <c r="L50" s="172"/>
    </row>
    <row r="51" spans="1:12" ht="15.75" thickBot="1">
      <c r="A51" s="29"/>
      <c r="B51" s="19" t="s">
        <v>196</v>
      </c>
      <c r="I51" s="62"/>
      <c r="J51" s="34"/>
      <c r="K51" s="198">
        <f>SUM(K49:L50)</f>
        <v>132007.20132200001</v>
      </c>
      <c r="L51" s="199"/>
    </row>
    <row r="52" spans="1:12" ht="17.25" customHeight="1" thickBot="1">
      <c r="A52" s="63"/>
      <c r="B52" s="64" t="s">
        <v>197</v>
      </c>
      <c r="C52" s="65"/>
      <c r="D52" s="65"/>
      <c r="E52" s="65"/>
      <c r="F52" s="65"/>
      <c r="G52" s="65"/>
      <c r="H52" s="66"/>
      <c r="I52" s="63"/>
      <c r="J52" s="63"/>
      <c r="K52" s="200">
        <f>K51+K23</f>
        <v>284377.6200339084</v>
      </c>
      <c r="L52" s="201"/>
    </row>
    <row r="53" spans="1:12" ht="18.75" customHeight="1">
      <c r="A53" t="s">
        <v>21</v>
      </c>
    </row>
    <row r="54" spans="1:12">
      <c r="A54" t="s">
        <v>23</v>
      </c>
      <c r="D54" s="21">
        <f>I4</f>
        <v>2014</v>
      </c>
      <c r="E54" s="19" t="s">
        <v>24</v>
      </c>
      <c r="G54" s="107">
        <f>K52-G19</f>
        <v>132564.90003390837</v>
      </c>
      <c r="H54" s="19" t="s">
        <v>25</v>
      </c>
    </row>
    <row r="55" spans="1:12" ht="24" customHeight="1" thickBot="1">
      <c r="A55" t="s">
        <v>26</v>
      </c>
      <c r="B55" s="21">
        <f>I4</f>
        <v>2014</v>
      </c>
      <c r="C55" s="19" t="s">
        <v>29</v>
      </c>
    </row>
    <row r="56" spans="1:12">
      <c r="A56" s="24" t="s">
        <v>2</v>
      </c>
      <c r="B56" s="163" t="s">
        <v>38</v>
      </c>
      <c r="C56" s="164"/>
      <c r="D56" s="164"/>
      <c r="E56" s="164"/>
      <c r="F56" s="163" t="s">
        <v>39</v>
      </c>
      <c r="G56" s="164"/>
      <c r="H56" s="165"/>
      <c r="I56" s="163" t="s">
        <v>40</v>
      </c>
      <c r="J56" s="164"/>
      <c r="K56" s="164"/>
      <c r="L56" s="165"/>
    </row>
    <row r="57" spans="1:12" ht="15.75" thickBot="1">
      <c r="A57" s="25"/>
      <c r="B57" s="188"/>
      <c r="C57" s="189"/>
      <c r="D57" s="189"/>
      <c r="E57" s="189"/>
      <c r="F57" s="188"/>
      <c r="G57" s="189"/>
      <c r="H57" s="190"/>
      <c r="I57" s="188" t="s">
        <v>41</v>
      </c>
      <c r="J57" s="189"/>
      <c r="K57" s="189"/>
      <c r="L57" s="190"/>
    </row>
    <row r="58" spans="1:12">
      <c r="A58" s="54" t="s">
        <v>32</v>
      </c>
      <c r="B58" s="191" t="s">
        <v>42</v>
      </c>
      <c r="C58" s="191"/>
      <c r="D58" s="191"/>
      <c r="E58" s="192"/>
      <c r="F58" s="193" t="s">
        <v>168</v>
      </c>
      <c r="G58" s="194"/>
      <c r="H58" s="195"/>
      <c r="I58" s="193" t="s">
        <v>146</v>
      </c>
      <c r="J58" s="194"/>
      <c r="K58" s="194"/>
      <c r="L58" s="195"/>
    </row>
    <row r="59" spans="1:12">
      <c r="A59" s="29" t="s">
        <v>33</v>
      </c>
      <c r="B59" s="150" t="s">
        <v>43</v>
      </c>
      <c r="C59" s="150"/>
      <c r="D59" s="150"/>
      <c r="E59" s="166"/>
      <c r="F59" s="182" t="s">
        <v>169</v>
      </c>
      <c r="G59" s="183"/>
      <c r="H59" s="184"/>
      <c r="I59" s="182" t="s">
        <v>47</v>
      </c>
      <c r="J59" s="183"/>
      <c r="K59" s="183"/>
      <c r="L59" s="184"/>
    </row>
    <row r="60" spans="1:12">
      <c r="A60" s="29" t="s">
        <v>34</v>
      </c>
      <c r="B60" s="149" t="s">
        <v>147</v>
      </c>
      <c r="C60" s="150"/>
      <c r="D60" s="150"/>
      <c r="E60" s="166"/>
      <c r="F60" s="182" t="s">
        <v>148</v>
      </c>
      <c r="G60" s="183"/>
      <c r="H60" s="184"/>
      <c r="I60" s="182" t="s">
        <v>149</v>
      </c>
      <c r="J60" s="183"/>
      <c r="K60" s="183"/>
      <c r="L60" s="184"/>
    </row>
    <row r="61" spans="1:12">
      <c r="A61" s="29" t="s">
        <v>35</v>
      </c>
      <c r="B61" s="150" t="s">
        <v>44</v>
      </c>
      <c r="C61" s="150"/>
      <c r="D61" s="150"/>
      <c r="E61" s="166"/>
      <c r="F61" s="182" t="s">
        <v>150</v>
      </c>
      <c r="G61" s="183"/>
      <c r="H61" s="184"/>
      <c r="I61" s="182" t="s">
        <v>151</v>
      </c>
      <c r="J61" s="183"/>
      <c r="K61" s="183"/>
      <c r="L61" s="184"/>
    </row>
    <row r="62" spans="1:12">
      <c r="A62" s="29" t="s">
        <v>36</v>
      </c>
      <c r="B62" s="150" t="s">
        <v>45</v>
      </c>
      <c r="C62" s="150"/>
      <c r="D62" s="150"/>
      <c r="E62" s="166"/>
      <c r="F62" s="182" t="s">
        <v>152</v>
      </c>
      <c r="G62" s="183"/>
      <c r="H62" s="184"/>
      <c r="I62" s="182" t="s">
        <v>153</v>
      </c>
      <c r="J62" s="183"/>
      <c r="K62" s="183"/>
      <c r="L62" s="184"/>
    </row>
    <row r="63" spans="1:12" ht="15.75" thickBot="1">
      <c r="A63" s="70" t="s">
        <v>37</v>
      </c>
      <c r="B63" s="177" t="s">
        <v>46</v>
      </c>
      <c r="C63" s="177"/>
      <c r="D63" s="177"/>
      <c r="E63" s="178"/>
      <c r="F63" s="179" t="s">
        <v>154</v>
      </c>
      <c r="G63" s="180"/>
      <c r="H63" s="181"/>
      <c r="I63" s="179" t="s">
        <v>155</v>
      </c>
      <c r="J63" s="180"/>
      <c r="K63" s="180"/>
      <c r="L63" s="181"/>
    </row>
    <row r="64" spans="1:12">
      <c r="A64" s="12" t="s">
        <v>51</v>
      </c>
      <c r="B64" s="21">
        <f>I4</f>
        <v>2014</v>
      </c>
      <c r="C64" s="19" t="s">
        <v>52</v>
      </c>
    </row>
    <row r="65" spans="1:13">
      <c r="A65" s="22" t="s">
        <v>105</v>
      </c>
    </row>
    <row r="66" spans="1:13">
      <c r="A66" s="22" t="s">
        <v>49</v>
      </c>
      <c r="F66" s="123">
        <f>H86</f>
        <v>17.814565381350956</v>
      </c>
      <c r="G66" s="19" t="s">
        <v>50</v>
      </c>
    </row>
    <row r="67" spans="1:13">
      <c r="A67" s="121" t="s">
        <v>112</v>
      </c>
    </row>
    <row r="68" spans="1:13">
      <c r="A68" s="121" t="s">
        <v>113</v>
      </c>
      <c r="M68"/>
    </row>
    <row r="69" spans="1:13">
      <c r="A69" s="121" t="s">
        <v>114</v>
      </c>
      <c r="M69"/>
    </row>
    <row r="70" spans="1:13">
      <c r="A70" s="121" t="s">
        <v>115</v>
      </c>
      <c r="M70"/>
    </row>
    <row r="71" spans="1:13">
      <c r="A71" s="22" t="s">
        <v>53</v>
      </c>
      <c r="B71" s="21">
        <f>I4+1</f>
        <v>2015</v>
      </c>
      <c r="C71" s="19" t="s">
        <v>54</v>
      </c>
    </row>
    <row r="72" spans="1:13">
      <c r="A72" s="22" t="s">
        <v>55</v>
      </c>
    </row>
    <row r="73" spans="1:13">
      <c r="A73" s="22" t="s">
        <v>56</v>
      </c>
      <c r="J73" s="15">
        <v>15000</v>
      </c>
      <c r="K73" s="19" t="s">
        <v>10</v>
      </c>
    </row>
    <row r="74" spans="1:13">
      <c r="A74" s="162" t="s">
        <v>79</v>
      </c>
      <c r="B74" s="162"/>
      <c r="C74" s="162"/>
      <c r="D74" s="162"/>
      <c r="E74" s="162"/>
      <c r="J74" s="15">
        <v>10000</v>
      </c>
      <c r="K74" s="19" t="s">
        <v>10</v>
      </c>
    </row>
    <row r="75" spans="1:13">
      <c r="A75" s="22" t="s">
        <v>57</v>
      </c>
      <c r="J75" s="15">
        <v>1500</v>
      </c>
      <c r="K75" s="19" t="s">
        <v>10</v>
      </c>
    </row>
    <row r="76" spans="1:13">
      <c r="A76" s="22" t="s">
        <v>78</v>
      </c>
      <c r="J76" s="15">
        <v>15000</v>
      </c>
      <c r="K76" s="19" t="s">
        <v>10</v>
      </c>
    </row>
    <row r="77" spans="1:13">
      <c r="A77" s="22" t="s">
        <v>58</v>
      </c>
      <c r="J77" s="15">
        <v>8000</v>
      </c>
      <c r="K77" s="19" t="s">
        <v>10</v>
      </c>
    </row>
    <row r="78" spans="1:13">
      <c r="A78" s="22" t="s">
        <v>59</v>
      </c>
      <c r="J78" s="15">
        <v>8000</v>
      </c>
      <c r="K78" s="19" t="s">
        <v>10</v>
      </c>
    </row>
    <row r="79" spans="1:13">
      <c r="A79" s="124" t="s">
        <v>233</v>
      </c>
      <c r="I79"/>
      <c r="J79" s="15">
        <v>100000</v>
      </c>
      <c r="K79" t="s">
        <v>10</v>
      </c>
      <c r="L79"/>
      <c r="M79"/>
    </row>
    <row r="80" spans="1:13">
      <c r="A80" s="124" t="s">
        <v>234</v>
      </c>
      <c r="B80" s="16"/>
      <c r="C80" s="16"/>
      <c r="I80"/>
      <c r="J80" s="15">
        <v>20000</v>
      </c>
      <c r="K80" t="s">
        <v>10</v>
      </c>
      <c r="L80"/>
      <c r="M80"/>
    </row>
    <row r="81" spans="1:13">
      <c r="A81" s="124" t="s">
        <v>235</v>
      </c>
      <c r="I81"/>
      <c r="J81" s="20">
        <v>250000</v>
      </c>
      <c r="K81" t="s">
        <v>10</v>
      </c>
      <c r="L81"/>
      <c r="M81"/>
    </row>
    <row r="82" spans="1:13" ht="15.75">
      <c r="A82" s="146" t="s">
        <v>236</v>
      </c>
      <c r="B82" s="146"/>
      <c r="C82" s="146"/>
      <c r="D82" s="146"/>
      <c r="E82" s="146"/>
      <c r="F82" s="146"/>
      <c r="G82" s="146"/>
      <c r="H82" s="126"/>
      <c r="I82" s="16"/>
      <c r="J82" s="127">
        <v>1500</v>
      </c>
      <c r="K82" s="19" t="s">
        <v>10</v>
      </c>
      <c r="L82" s="128"/>
      <c r="M82"/>
    </row>
    <row r="83" spans="1:13">
      <c r="A83" s="125" t="s">
        <v>237</v>
      </c>
      <c r="B83" s="34"/>
      <c r="C83" s="34"/>
      <c r="D83" s="34"/>
      <c r="E83" s="34"/>
      <c r="F83" s="34"/>
      <c r="G83" s="34"/>
      <c r="H83" s="34"/>
      <c r="J83" s="15">
        <v>9000</v>
      </c>
      <c r="K83" s="19" t="s">
        <v>10</v>
      </c>
      <c r="L83"/>
      <c r="M83"/>
    </row>
    <row r="84" spans="1:13">
      <c r="A84" s="13" t="s">
        <v>60</v>
      </c>
      <c r="J84" s="96">
        <f>SUM(J73:J83)</f>
        <v>438000</v>
      </c>
      <c r="K84" s="109" t="s">
        <v>61</v>
      </c>
    </row>
    <row r="85" spans="1:13">
      <c r="A85" s="22" t="s">
        <v>62</v>
      </c>
      <c r="H85" s="21">
        <f>I4</f>
        <v>2014</v>
      </c>
      <c r="I85" s="19" t="s">
        <v>70</v>
      </c>
      <c r="K85" s="96">
        <f>G54</f>
        <v>132564.90003390837</v>
      </c>
    </row>
    <row r="86" spans="1:13">
      <c r="A86" s="22" t="s">
        <v>63</v>
      </c>
      <c r="C86" s="107">
        <f>J84+K85</f>
        <v>570564.90003390843</v>
      </c>
      <c r="D86" s="21" t="s">
        <v>64</v>
      </c>
      <c r="E86" s="110">
        <f>I4+1</f>
        <v>2015</v>
      </c>
      <c r="F86" s="19" t="s">
        <v>66</v>
      </c>
      <c r="H86" s="93">
        <f>C86/(E6*12)</f>
        <v>17.814565381350956</v>
      </c>
      <c r="I86" s="19" t="s">
        <v>67</v>
      </c>
    </row>
    <row r="88" spans="1:13" ht="33.75" customHeight="1">
      <c r="B88" s="19" t="s">
        <v>68</v>
      </c>
    </row>
    <row r="89" spans="1:13">
      <c r="B89" s="19" t="s">
        <v>39</v>
      </c>
      <c r="I89" s="19" t="s">
        <v>69</v>
      </c>
    </row>
    <row r="90" spans="1:13">
      <c r="K90" s="77" t="s">
        <v>170</v>
      </c>
    </row>
  </sheetData>
  <mergeCells count="92">
    <mergeCell ref="E4:H4"/>
    <mergeCell ref="A82:G82"/>
    <mergeCell ref="B22:H22"/>
    <mergeCell ref="K22:L22"/>
    <mergeCell ref="A2:L2"/>
    <mergeCell ref="A3:L3"/>
    <mergeCell ref="A7:B7"/>
    <mergeCell ref="A20:B20"/>
    <mergeCell ref="B21:H21"/>
    <mergeCell ref="K21:L21"/>
    <mergeCell ref="B23:H23"/>
    <mergeCell ref="K23:L23"/>
    <mergeCell ref="B24:H24"/>
    <mergeCell ref="K24:L24"/>
    <mergeCell ref="B31:H31"/>
    <mergeCell ref="K31:L31"/>
    <mergeCell ref="B25:H25"/>
    <mergeCell ref="K25:L25"/>
    <mergeCell ref="B26:H26"/>
    <mergeCell ref="K26:L26"/>
    <mergeCell ref="B27:H27"/>
    <mergeCell ref="K27:L27"/>
    <mergeCell ref="B28:H28"/>
    <mergeCell ref="K28:L28"/>
    <mergeCell ref="B29:H29"/>
    <mergeCell ref="K29:L29"/>
    <mergeCell ref="B30:H30"/>
    <mergeCell ref="K30:L30"/>
    <mergeCell ref="B32:H32"/>
    <mergeCell ref="K32:L32"/>
    <mergeCell ref="B33:H33"/>
    <mergeCell ref="K33:L33"/>
    <mergeCell ref="B38:H38"/>
    <mergeCell ref="K38:L38"/>
    <mergeCell ref="B36:H36"/>
    <mergeCell ref="K36:L36"/>
    <mergeCell ref="B37:H37"/>
    <mergeCell ref="K37:L37"/>
    <mergeCell ref="B34:H34"/>
    <mergeCell ref="K34:L34"/>
    <mergeCell ref="B35:H35"/>
    <mergeCell ref="K35:L35"/>
    <mergeCell ref="B39:H39"/>
    <mergeCell ref="K39:L39"/>
    <mergeCell ref="K40:L40"/>
    <mergeCell ref="B41:H41"/>
    <mergeCell ref="K41:L41"/>
    <mergeCell ref="B40:H40"/>
    <mergeCell ref="B42:H42"/>
    <mergeCell ref="K42:L42"/>
    <mergeCell ref="B44:H44"/>
    <mergeCell ref="K44:L44"/>
    <mergeCell ref="B45:H45"/>
    <mergeCell ref="K45:L45"/>
    <mergeCell ref="K43:L43"/>
    <mergeCell ref="B46:H46"/>
    <mergeCell ref="K46:L46"/>
    <mergeCell ref="B47:H47"/>
    <mergeCell ref="K47:L47"/>
    <mergeCell ref="B48:H48"/>
    <mergeCell ref="K48:L48"/>
    <mergeCell ref="B49:H49"/>
    <mergeCell ref="K49:L49"/>
    <mergeCell ref="B50:H50"/>
    <mergeCell ref="K50:L50"/>
    <mergeCell ref="K51:L51"/>
    <mergeCell ref="K52:L52"/>
    <mergeCell ref="B56:E56"/>
    <mergeCell ref="F56:H56"/>
    <mergeCell ref="I56:L56"/>
    <mergeCell ref="B59:E59"/>
    <mergeCell ref="F59:H59"/>
    <mergeCell ref="I59:L59"/>
    <mergeCell ref="B57:E57"/>
    <mergeCell ref="F57:H57"/>
    <mergeCell ref="I57:L57"/>
    <mergeCell ref="B58:E58"/>
    <mergeCell ref="F58:H58"/>
    <mergeCell ref="I58:L58"/>
    <mergeCell ref="B60:E60"/>
    <mergeCell ref="F60:H60"/>
    <mergeCell ref="I60:L60"/>
    <mergeCell ref="B61:E61"/>
    <mergeCell ref="F61:H61"/>
    <mergeCell ref="I61:L61"/>
    <mergeCell ref="A74:E74"/>
    <mergeCell ref="B62:E62"/>
    <mergeCell ref="F62:H62"/>
    <mergeCell ref="I62:L62"/>
    <mergeCell ref="B63:E63"/>
    <mergeCell ref="F63:H63"/>
    <mergeCell ref="I63:L63"/>
  </mergeCells>
  <pageMargins left="0.19685039370078741" right="0.11811023622047245" top="0.44" bottom="0.4" header="0.16" footer="0.16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91"/>
  <sheetViews>
    <sheetView topLeftCell="A10" workbookViewId="0">
      <selection activeCell="B26" sqref="B26:O26"/>
    </sheetView>
  </sheetViews>
  <sheetFormatPr defaultRowHeight="15"/>
  <cols>
    <col min="1" max="1" width="6.85546875" customWidth="1"/>
    <col min="2" max="6" width="9.140625" style="19"/>
    <col min="7" max="7" width="10.7109375" style="19" customWidth="1"/>
    <col min="8" max="8" width="4.42578125" style="19" customWidth="1"/>
    <col min="9" max="9" width="11" style="19" customWidth="1"/>
    <col min="10" max="10" width="11.7109375" style="19" customWidth="1"/>
    <col min="11" max="13" width="9.140625" style="19"/>
  </cols>
  <sheetData>
    <row r="1" spans="1:12" ht="18.75">
      <c r="A1" s="157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18.7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18.75">
      <c r="A3" s="1"/>
      <c r="B3" s="2"/>
      <c r="C3" s="88" t="s">
        <v>2</v>
      </c>
      <c r="D3" s="2">
        <v>6</v>
      </c>
      <c r="E3" s="89" t="s">
        <v>85</v>
      </c>
      <c r="F3" s="89"/>
      <c r="G3" s="89"/>
      <c r="H3" s="2"/>
      <c r="I3" s="2">
        <v>2015</v>
      </c>
      <c r="J3" s="89" t="s">
        <v>22</v>
      </c>
    </row>
    <row r="5" spans="1:12" ht="15.75">
      <c r="A5" s="3" t="s">
        <v>27</v>
      </c>
      <c r="B5" s="21">
        <f>I3</f>
        <v>2015</v>
      </c>
      <c r="C5" s="19" t="s">
        <v>28</v>
      </c>
      <c r="D5" s="90" t="s">
        <v>83</v>
      </c>
      <c r="E5" s="38">
        <v>2652.4</v>
      </c>
      <c r="F5" s="19" t="s">
        <v>65</v>
      </c>
    </row>
    <row r="6" spans="1:12" ht="15.75">
      <c r="A6" s="158"/>
      <c r="B6" s="158"/>
      <c r="C6" s="91" t="s">
        <v>3</v>
      </c>
      <c r="G6" s="92">
        <f>A6-J7</f>
        <v>0</v>
      </c>
      <c r="H6" s="21" t="s">
        <v>82</v>
      </c>
      <c r="I6" s="93" t="e">
        <f>(G6/A6)*100</f>
        <v>#DIV/0!</v>
      </c>
      <c r="J6" s="19" t="s">
        <v>4</v>
      </c>
    </row>
    <row r="7" spans="1:12" ht="15.75">
      <c r="A7" t="s">
        <v>81</v>
      </c>
      <c r="J7" s="92"/>
      <c r="K7" s="19" t="s">
        <v>5</v>
      </c>
    </row>
    <row r="8" spans="1:12">
      <c r="A8" t="s">
        <v>80</v>
      </c>
    </row>
    <row r="9" spans="1:12">
      <c r="A9" t="s">
        <v>72</v>
      </c>
      <c r="B9" s="15"/>
      <c r="C9" s="19" t="s">
        <v>10</v>
      </c>
      <c r="E9" s="94" t="s">
        <v>74</v>
      </c>
      <c r="F9" s="15"/>
      <c r="G9" s="19" t="s">
        <v>10</v>
      </c>
      <c r="I9" s="94" t="s">
        <v>74</v>
      </c>
      <c r="J9" s="15"/>
      <c r="K9" s="19" t="s">
        <v>10</v>
      </c>
    </row>
    <row r="10" spans="1:12">
      <c r="A10" t="s">
        <v>73</v>
      </c>
      <c r="B10" s="15"/>
      <c r="C10" s="19" t="s">
        <v>10</v>
      </c>
      <c r="E10" s="94" t="s">
        <v>76</v>
      </c>
      <c r="F10" s="15"/>
      <c r="G10" s="19" t="s">
        <v>10</v>
      </c>
      <c r="I10" s="94" t="s">
        <v>76</v>
      </c>
      <c r="J10" s="15"/>
      <c r="K10" s="19" t="s">
        <v>10</v>
      </c>
    </row>
    <row r="11" spans="1:12">
      <c r="A11" t="s">
        <v>77</v>
      </c>
      <c r="B11" s="15"/>
      <c r="C11" s="19" t="s">
        <v>10</v>
      </c>
      <c r="E11" s="118" t="s">
        <v>75</v>
      </c>
      <c r="F11" s="15"/>
      <c r="G11" s="19" t="s">
        <v>10</v>
      </c>
      <c r="I11" s="118" t="s">
        <v>75</v>
      </c>
      <c r="J11" s="15"/>
      <c r="K11" s="19" t="s">
        <v>10</v>
      </c>
    </row>
    <row r="12" spans="1:12" ht="15.75">
      <c r="A12" t="s">
        <v>30</v>
      </c>
      <c r="J12" s="15">
        <f>G13+G14+G15+G16</f>
        <v>0</v>
      </c>
      <c r="K12" s="95" t="s">
        <v>31</v>
      </c>
    </row>
    <row r="13" spans="1:12">
      <c r="A13" s="4" t="s">
        <v>6</v>
      </c>
      <c r="B13" s="19" t="s">
        <v>7</v>
      </c>
      <c r="G13" s="96">
        <f>(J7*43.5/100)</f>
        <v>0</v>
      </c>
      <c r="H13" s="19" t="s">
        <v>10</v>
      </c>
    </row>
    <row r="14" spans="1:12">
      <c r="A14" s="4" t="s">
        <v>6</v>
      </c>
      <c r="B14" s="19" t="s">
        <v>8</v>
      </c>
      <c r="G14" s="96">
        <f>(J7*36.6/100)</f>
        <v>0</v>
      </c>
      <c r="H14" s="19" t="s">
        <v>10</v>
      </c>
    </row>
    <row r="15" spans="1:12">
      <c r="A15" s="4" t="s">
        <v>6</v>
      </c>
      <c r="B15" s="19" t="s">
        <v>9</v>
      </c>
      <c r="G15" s="96">
        <f>(J7*12.5/100)</f>
        <v>0</v>
      </c>
      <c r="H15" s="19" t="s">
        <v>10</v>
      </c>
      <c r="K15" s="91"/>
      <c r="L15" s="97"/>
    </row>
    <row r="16" spans="1:12">
      <c r="A16" s="4" t="s">
        <v>6</v>
      </c>
      <c r="B16" s="19" t="s">
        <v>14</v>
      </c>
      <c r="G16" s="96">
        <f>(J7*7.4/100)</f>
        <v>0</v>
      </c>
      <c r="H16" s="19" t="s">
        <v>10</v>
      </c>
    </row>
    <row r="17" spans="1:22">
      <c r="G17" s="98"/>
    </row>
    <row r="18" spans="1:22">
      <c r="A18" s="5" t="s">
        <v>11</v>
      </c>
      <c r="G18" s="96">
        <f>E5*4.74*12</f>
        <v>150868.51199999999</v>
      </c>
      <c r="H18" s="19" t="s">
        <v>12</v>
      </c>
    </row>
    <row r="19" spans="1:22" ht="15.75" thickBot="1">
      <c r="A19" s="159" t="e">
        <f>G18*I6/100</f>
        <v>#DIV/0!</v>
      </c>
      <c r="B19" s="159"/>
      <c r="C19" s="19" t="s">
        <v>71</v>
      </c>
    </row>
    <row r="20" spans="1:22">
      <c r="A20" s="6" t="s">
        <v>2</v>
      </c>
      <c r="B20" s="232" t="s">
        <v>20</v>
      </c>
      <c r="C20" s="233"/>
      <c r="D20" s="233"/>
      <c r="E20" s="233"/>
      <c r="F20" s="233"/>
      <c r="G20" s="233"/>
      <c r="H20" s="234"/>
      <c r="I20" s="99" t="s">
        <v>18</v>
      </c>
      <c r="J20" s="100" t="s">
        <v>17</v>
      </c>
      <c r="K20" s="232" t="s">
        <v>15</v>
      </c>
      <c r="L20" s="234"/>
    </row>
    <row r="21" spans="1:22" ht="15.75" thickBot="1">
      <c r="A21" s="7" t="s">
        <v>13</v>
      </c>
      <c r="B21" s="227"/>
      <c r="C21" s="228"/>
      <c r="D21" s="228"/>
      <c r="E21" s="228"/>
      <c r="F21" s="228"/>
      <c r="G21" s="228"/>
      <c r="H21" s="229"/>
      <c r="I21" s="101" t="s">
        <v>19</v>
      </c>
      <c r="J21" s="102"/>
      <c r="K21" s="230" t="s">
        <v>16</v>
      </c>
      <c r="L21" s="231"/>
      <c r="T21" s="84" t="s">
        <v>178</v>
      </c>
      <c r="U21" s="85">
        <v>1896.5</v>
      </c>
      <c r="V21" s="85">
        <f>U21*100/U31</f>
        <v>9.9284304913015653</v>
      </c>
    </row>
    <row r="22" spans="1:22" ht="15.75" thickBot="1">
      <c r="A22" s="8"/>
      <c r="B22" s="235" t="s">
        <v>210</v>
      </c>
      <c r="C22" s="236"/>
      <c r="D22" s="236"/>
      <c r="E22" s="236"/>
      <c r="F22" s="236"/>
      <c r="G22" s="236"/>
      <c r="H22" s="236"/>
      <c r="I22" s="103"/>
      <c r="J22" s="103"/>
      <c r="K22" s="237">
        <f>'2014'!G54</f>
        <v>132564.90003390837</v>
      </c>
      <c r="L22" s="238"/>
      <c r="T22" s="84" t="s">
        <v>179</v>
      </c>
      <c r="U22" s="85">
        <v>1884</v>
      </c>
      <c r="V22" s="85">
        <f>U22*100/U31</f>
        <v>9.8629913238134179</v>
      </c>
    </row>
    <row r="23" spans="1:22">
      <c r="A23" s="10">
        <v>2</v>
      </c>
      <c r="B23" s="149" t="s">
        <v>122</v>
      </c>
      <c r="C23" s="225"/>
      <c r="D23" s="225"/>
      <c r="E23" s="225"/>
      <c r="F23" s="225"/>
      <c r="G23" s="225"/>
      <c r="H23" s="150"/>
      <c r="I23" s="133" t="s">
        <v>104</v>
      </c>
      <c r="J23" s="134">
        <v>465</v>
      </c>
      <c r="K23" s="160">
        <v>8640</v>
      </c>
      <c r="L23" s="161"/>
      <c r="M23"/>
      <c r="N23" t="s">
        <v>242</v>
      </c>
      <c r="T23" s="84" t="s">
        <v>180</v>
      </c>
      <c r="U23" s="85">
        <v>2654.9</v>
      </c>
      <c r="V23" s="85">
        <f>U23*100/U31</f>
        <v>13.898755661142379</v>
      </c>
    </row>
    <row r="24" spans="1:22">
      <c r="A24" s="10">
        <v>3</v>
      </c>
      <c r="B24" s="151" t="s">
        <v>245</v>
      </c>
      <c r="C24" s="146"/>
      <c r="D24" s="146"/>
      <c r="E24" s="146"/>
      <c r="F24" s="146"/>
      <c r="G24" s="146"/>
      <c r="H24" s="146"/>
      <c r="I24" s="104" t="s">
        <v>97</v>
      </c>
      <c r="J24" s="10">
        <v>27</v>
      </c>
      <c r="K24" s="160">
        <f>67500*0.139</f>
        <v>9382.5</v>
      </c>
      <c r="L24" s="161"/>
      <c r="M24"/>
      <c r="N24" t="s">
        <v>243</v>
      </c>
      <c r="Q24" s="17"/>
      <c r="T24" s="84" t="s">
        <v>181</v>
      </c>
      <c r="U24" s="85">
        <v>2639.3</v>
      </c>
      <c r="V24" s="85">
        <f>U24*100/U31</f>
        <v>13.817087580117173</v>
      </c>
    </row>
    <row r="25" spans="1:22">
      <c r="A25" s="10">
        <v>4</v>
      </c>
      <c r="B25" s="149" t="s">
        <v>246</v>
      </c>
      <c r="C25" s="225"/>
      <c r="D25" s="225"/>
      <c r="E25" s="225"/>
      <c r="F25" s="225"/>
      <c r="G25" s="225"/>
      <c r="H25" s="150"/>
      <c r="I25" s="104" t="s">
        <v>96</v>
      </c>
      <c r="J25" s="14">
        <v>1</v>
      </c>
      <c r="K25" s="153">
        <f>25000+4200</f>
        <v>29200</v>
      </c>
      <c r="L25" s="154"/>
      <c r="N25" t="s">
        <v>244</v>
      </c>
      <c r="T25" s="84" t="s">
        <v>182</v>
      </c>
      <c r="U25" s="85">
        <v>1831.61</v>
      </c>
      <c r="V25" s="85">
        <f>U25*100/U31</f>
        <v>9.5887226850370997</v>
      </c>
    </row>
    <row r="26" spans="1:22">
      <c r="A26" s="10">
        <v>5</v>
      </c>
      <c r="B26" s="151" t="s">
        <v>247</v>
      </c>
      <c r="C26" s="146"/>
      <c r="D26" s="146"/>
      <c r="E26" s="146"/>
      <c r="F26" s="146"/>
      <c r="G26" s="146"/>
      <c r="H26" s="152"/>
      <c r="I26" s="10" t="s">
        <v>104</v>
      </c>
      <c r="J26" s="111">
        <v>302</v>
      </c>
      <c r="K26" s="147">
        <v>3232.04</v>
      </c>
      <c r="L26" s="148"/>
      <c r="M26"/>
      <c r="N26" s="135" t="s">
        <v>248</v>
      </c>
      <c r="T26" s="84" t="s">
        <v>183</v>
      </c>
      <c r="U26" s="85">
        <v>1871.9</v>
      </c>
      <c r="V26" s="85">
        <f>U26*100/U31</f>
        <v>9.7996462096848926</v>
      </c>
    </row>
    <row r="27" spans="1:22">
      <c r="A27" s="10">
        <v>6</v>
      </c>
      <c r="B27" s="149"/>
      <c r="C27" s="150"/>
      <c r="D27" s="150"/>
      <c r="E27" s="150"/>
      <c r="F27" s="150"/>
      <c r="G27" s="150"/>
      <c r="H27" s="150"/>
      <c r="I27" s="29"/>
      <c r="J27" s="29"/>
      <c r="K27" s="167"/>
      <c r="L27" s="168"/>
      <c r="Q27" s="17"/>
      <c r="T27" s="84" t="s">
        <v>184</v>
      </c>
      <c r="U27" s="85">
        <v>2277.5</v>
      </c>
      <c r="V27" s="85">
        <f>U27*100/U31</f>
        <v>11.923016316340265</v>
      </c>
    </row>
    <row r="28" spans="1:22">
      <c r="A28" s="10">
        <v>7</v>
      </c>
      <c r="B28" s="151"/>
      <c r="C28" s="146"/>
      <c r="D28" s="146"/>
      <c r="E28" s="146"/>
      <c r="F28" s="146"/>
      <c r="G28" s="146"/>
      <c r="H28" s="146"/>
      <c r="I28" s="104"/>
      <c r="J28" s="14"/>
      <c r="K28" s="155"/>
      <c r="L28" s="156"/>
      <c r="Q28" s="17"/>
      <c r="T28" s="84" t="s">
        <v>185</v>
      </c>
      <c r="U28" s="85">
        <v>2209.6999999999998</v>
      </c>
      <c r="V28" s="85">
        <f>U28*100/U31</f>
        <v>11.568074271884559</v>
      </c>
    </row>
    <row r="29" spans="1:22">
      <c r="A29" s="10">
        <v>8</v>
      </c>
      <c r="B29" s="151"/>
      <c r="C29" s="146"/>
      <c r="D29" s="146"/>
      <c r="E29" s="146"/>
      <c r="F29" s="146"/>
      <c r="G29" s="146"/>
      <c r="H29" s="146"/>
      <c r="I29" s="14"/>
      <c r="J29" s="14"/>
      <c r="K29" s="155"/>
      <c r="L29" s="156"/>
      <c r="P29" s="17"/>
      <c r="T29" s="84" t="s">
        <v>186</v>
      </c>
      <c r="U29" s="85">
        <v>1836.3</v>
      </c>
      <c r="V29" s="85">
        <f>U29*100/U31</f>
        <v>9.6132754606786524</v>
      </c>
    </row>
    <row r="30" spans="1:22">
      <c r="A30" s="10">
        <v>9</v>
      </c>
      <c r="B30" s="149"/>
      <c r="C30" s="224"/>
      <c r="D30" s="224"/>
      <c r="E30" s="224"/>
      <c r="F30" s="224"/>
      <c r="G30" s="224"/>
      <c r="H30" s="224"/>
      <c r="I30" s="14"/>
      <c r="J30" s="14"/>
      <c r="K30" s="155"/>
      <c r="L30" s="156"/>
      <c r="Q30" s="17"/>
      <c r="T30" s="84"/>
      <c r="U30" s="85"/>
      <c r="V30" s="85"/>
    </row>
    <row r="31" spans="1:22">
      <c r="A31" s="10">
        <v>10</v>
      </c>
      <c r="B31" s="151"/>
      <c r="C31" s="146"/>
      <c r="D31" s="146"/>
      <c r="E31" s="146"/>
      <c r="F31" s="146"/>
      <c r="G31" s="146"/>
      <c r="H31" s="152"/>
      <c r="I31" s="18"/>
      <c r="J31" s="14"/>
      <c r="K31" s="155"/>
      <c r="L31" s="156"/>
      <c r="U31" s="11">
        <f>SUM(U21:U30)</f>
        <v>19101.71</v>
      </c>
    </row>
    <row r="32" spans="1:22">
      <c r="A32" s="10">
        <v>11</v>
      </c>
      <c r="B32" s="151"/>
      <c r="C32" s="146"/>
      <c r="D32" s="146"/>
      <c r="E32" s="146"/>
      <c r="F32" s="146"/>
      <c r="G32" s="146"/>
      <c r="H32" s="146"/>
      <c r="I32" s="14"/>
      <c r="J32" s="60"/>
      <c r="K32" s="220"/>
      <c r="L32" s="221"/>
    </row>
    <row r="33" spans="1:18">
      <c r="A33" s="10">
        <v>12</v>
      </c>
      <c r="B33" s="151"/>
      <c r="C33" s="146"/>
      <c r="D33" s="146"/>
      <c r="E33" s="146"/>
      <c r="F33" s="146"/>
      <c r="G33" s="146"/>
      <c r="H33" s="152"/>
      <c r="I33" s="14"/>
      <c r="J33" s="106"/>
      <c r="K33" s="222"/>
      <c r="L33" s="223"/>
    </row>
    <row r="34" spans="1:18">
      <c r="A34" s="10">
        <v>13</v>
      </c>
      <c r="B34" s="151"/>
      <c r="C34" s="146"/>
      <c r="D34" s="146"/>
      <c r="E34" s="146"/>
      <c r="F34" s="146"/>
      <c r="G34" s="146"/>
      <c r="H34" s="152"/>
      <c r="I34" s="14"/>
      <c r="J34" s="14"/>
      <c r="K34" s="155"/>
      <c r="L34" s="156"/>
      <c r="R34" s="17"/>
    </row>
    <row r="35" spans="1:18">
      <c r="A35" s="10">
        <v>14</v>
      </c>
      <c r="B35" s="151"/>
      <c r="C35" s="146"/>
      <c r="D35" s="146"/>
      <c r="E35" s="146"/>
      <c r="F35" s="146"/>
      <c r="G35" s="146"/>
      <c r="H35" s="152"/>
      <c r="I35" s="10"/>
      <c r="J35" s="82"/>
      <c r="K35" s="173"/>
      <c r="L35" s="174"/>
      <c r="M35"/>
      <c r="N35" s="11"/>
    </row>
    <row r="36" spans="1:18">
      <c r="A36" s="10">
        <v>15</v>
      </c>
      <c r="B36" s="151"/>
      <c r="C36" s="146"/>
      <c r="D36" s="146"/>
      <c r="E36" s="146"/>
      <c r="F36" s="146"/>
      <c r="G36" s="146"/>
      <c r="H36" s="152"/>
      <c r="I36" s="14"/>
      <c r="J36" s="82"/>
      <c r="K36" s="173"/>
      <c r="L36" s="174"/>
      <c r="M36"/>
      <c r="N36" s="11"/>
    </row>
    <row r="37" spans="1:18">
      <c r="A37" s="10">
        <v>16</v>
      </c>
      <c r="B37" s="151"/>
      <c r="C37" s="146"/>
      <c r="D37" s="146"/>
      <c r="E37" s="146"/>
      <c r="F37" s="146"/>
      <c r="G37" s="146"/>
      <c r="H37" s="152"/>
      <c r="I37" s="14"/>
      <c r="J37" s="82"/>
      <c r="K37" s="173"/>
      <c r="L37" s="174"/>
      <c r="M37"/>
      <c r="N37" s="11"/>
    </row>
    <row r="38" spans="1:18">
      <c r="A38" s="10">
        <v>17</v>
      </c>
      <c r="B38" s="151"/>
      <c r="C38" s="146"/>
      <c r="D38" s="146"/>
      <c r="E38" s="146"/>
      <c r="F38" s="146"/>
      <c r="G38" s="146"/>
      <c r="H38" s="146"/>
      <c r="I38" s="14"/>
      <c r="J38" s="14"/>
      <c r="K38" s="155"/>
      <c r="L38" s="156"/>
      <c r="N38" s="11"/>
    </row>
    <row r="39" spans="1:18">
      <c r="A39" s="14">
        <f t="shared" ref="A39" si="0">A38+1</f>
        <v>18</v>
      </c>
      <c r="B39" s="151"/>
      <c r="C39" s="146"/>
      <c r="D39" s="146"/>
      <c r="E39" s="146"/>
      <c r="F39" s="146"/>
      <c r="G39" s="146"/>
      <c r="H39" s="146"/>
      <c r="I39" s="10"/>
      <c r="J39" s="111"/>
      <c r="K39" s="147"/>
      <c r="L39" s="148"/>
      <c r="M39"/>
      <c r="N39" s="11"/>
    </row>
    <row r="40" spans="1:18">
      <c r="A40" s="14"/>
      <c r="B40" s="143"/>
      <c r="C40" s="144"/>
      <c r="D40" s="144"/>
      <c r="E40" s="144"/>
      <c r="F40" s="144"/>
      <c r="G40" s="144"/>
      <c r="H40" s="145"/>
      <c r="I40" s="10"/>
      <c r="J40" s="10"/>
      <c r="K40" s="147"/>
      <c r="L40" s="148"/>
      <c r="M40"/>
      <c r="N40" s="11"/>
    </row>
    <row r="41" spans="1:18">
      <c r="A41" s="10">
        <v>20</v>
      </c>
      <c r="B41" s="149"/>
      <c r="C41" s="150"/>
      <c r="D41" s="150"/>
      <c r="E41" s="150"/>
      <c r="F41" s="150"/>
      <c r="G41" s="150"/>
      <c r="H41" s="150"/>
      <c r="I41" s="29"/>
      <c r="J41" s="116"/>
      <c r="K41" s="147"/>
      <c r="L41" s="148"/>
    </row>
    <row r="42" spans="1:18">
      <c r="A42" s="10">
        <v>21</v>
      </c>
      <c r="B42" s="149"/>
      <c r="C42" s="150"/>
      <c r="D42" s="150"/>
      <c r="E42" s="150"/>
      <c r="F42" s="150"/>
      <c r="G42" s="150"/>
      <c r="H42" s="150"/>
      <c r="I42" s="29"/>
      <c r="J42" s="116"/>
      <c r="K42" s="160"/>
      <c r="L42" s="161"/>
    </row>
    <row r="43" spans="1:18">
      <c r="A43" s="10">
        <v>22</v>
      </c>
      <c r="B43" s="151"/>
      <c r="C43" s="146"/>
      <c r="D43" s="146"/>
      <c r="E43" s="146"/>
      <c r="F43" s="146"/>
      <c r="G43" s="146"/>
      <c r="H43" s="146"/>
      <c r="I43" s="14"/>
      <c r="J43" s="14"/>
      <c r="K43" s="155"/>
      <c r="L43" s="156"/>
      <c r="N43" s="11"/>
      <c r="R43" s="17"/>
    </row>
    <row r="44" spans="1:18">
      <c r="A44" s="10">
        <v>14</v>
      </c>
      <c r="B44" s="151"/>
      <c r="C44" s="146"/>
      <c r="D44" s="146"/>
      <c r="E44" s="146"/>
      <c r="F44" s="146"/>
      <c r="G44" s="146"/>
      <c r="H44" s="146"/>
      <c r="I44" s="10"/>
      <c r="J44" s="116"/>
      <c r="K44" s="218"/>
      <c r="L44" s="219"/>
    </row>
    <row r="45" spans="1:18">
      <c r="A45" s="10">
        <v>15</v>
      </c>
      <c r="B45" s="151"/>
      <c r="C45" s="146"/>
      <c r="D45" s="146"/>
      <c r="E45" s="146"/>
      <c r="F45" s="146"/>
      <c r="G45" s="146"/>
      <c r="H45" s="152"/>
      <c r="I45" s="10"/>
      <c r="J45" s="120"/>
      <c r="K45" s="169"/>
      <c r="L45" s="170"/>
    </row>
    <row r="46" spans="1:18">
      <c r="A46" s="10">
        <v>25</v>
      </c>
      <c r="B46" s="151"/>
      <c r="C46" s="146"/>
      <c r="D46" s="146"/>
      <c r="E46" s="146"/>
      <c r="F46" s="146"/>
      <c r="G46" s="146"/>
      <c r="H46" s="146"/>
      <c r="I46" s="14"/>
      <c r="J46" s="14"/>
      <c r="K46" s="155"/>
      <c r="L46" s="156"/>
    </row>
    <row r="47" spans="1:18">
      <c r="A47" s="10">
        <v>26</v>
      </c>
      <c r="B47" s="151"/>
      <c r="C47" s="146"/>
      <c r="D47" s="146"/>
      <c r="E47" s="146"/>
      <c r="F47" s="146"/>
      <c r="G47" s="146"/>
      <c r="H47" s="146"/>
      <c r="I47" s="14"/>
      <c r="J47" s="14"/>
      <c r="K47" s="155"/>
      <c r="L47" s="156"/>
    </row>
    <row r="48" spans="1:18">
      <c r="A48" s="10">
        <v>27</v>
      </c>
      <c r="B48" s="151"/>
      <c r="C48" s="146"/>
      <c r="D48" s="146"/>
      <c r="E48" s="146"/>
      <c r="F48" s="146"/>
      <c r="G48" s="146"/>
      <c r="H48" s="146"/>
      <c r="I48" s="14"/>
      <c r="J48" s="14"/>
      <c r="K48" s="153"/>
      <c r="L48" s="154"/>
    </row>
    <row r="49" spans="1:12">
      <c r="A49" s="29"/>
      <c r="B49" s="151" t="s">
        <v>211</v>
      </c>
      <c r="C49" s="146"/>
      <c r="D49" s="146"/>
      <c r="E49" s="146"/>
      <c r="F49" s="146"/>
      <c r="G49" s="146"/>
      <c r="H49" s="146"/>
      <c r="I49" s="29"/>
      <c r="J49" s="119"/>
      <c r="K49" s="196">
        <f>SUM(K23:L48)</f>
        <v>50454.54</v>
      </c>
      <c r="L49" s="197"/>
    </row>
    <row r="50" spans="1:12">
      <c r="A50" s="29"/>
      <c r="B50" s="151" t="s">
        <v>139</v>
      </c>
      <c r="C50" s="146"/>
      <c r="D50" s="146"/>
      <c r="E50" s="146"/>
      <c r="F50" s="146"/>
      <c r="G50" s="146"/>
      <c r="H50" s="146"/>
      <c r="I50" s="29"/>
      <c r="J50" s="119"/>
      <c r="K50" s="171">
        <f>K49*0.14</f>
        <v>7063.6356000000005</v>
      </c>
      <c r="L50" s="172"/>
    </row>
    <row r="51" spans="1:12" ht="15" customHeight="1" thickBot="1">
      <c r="A51" s="29"/>
      <c r="B51" s="19" t="s">
        <v>212</v>
      </c>
      <c r="I51" s="62"/>
      <c r="J51" s="34"/>
      <c r="K51" s="198">
        <f>SUM(K49:L50)</f>
        <v>57518.175600000002</v>
      </c>
      <c r="L51" s="199"/>
    </row>
    <row r="52" spans="1:12" ht="18.75" customHeight="1" thickBot="1">
      <c r="A52" s="63"/>
      <c r="B52" s="64" t="s">
        <v>213</v>
      </c>
      <c r="C52" s="65"/>
      <c r="D52" s="65"/>
      <c r="E52" s="65"/>
      <c r="F52" s="65"/>
      <c r="G52" s="65"/>
      <c r="H52" s="66"/>
      <c r="I52" s="63"/>
      <c r="J52" s="63"/>
      <c r="K52" s="200">
        <f>K51+K22</f>
        <v>190083.07563390839</v>
      </c>
      <c r="L52" s="201"/>
    </row>
    <row r="53" spans="1:12">
      <c r="A53" t="s">
        <v>21</v>
      </c>
    </row>
    <row r="54" spans="1:12">
      <c r="A54" t="s">
        <v>23</v>
      </c>
      <c r="D54" s="21">
        <f>I3</f>
        <v>2015</v>
      </c>
      <c r="E54" s="19" t="s">
        <v>24</v>
      </c>
      <c r="G54" s="107">
        <f>K52-G18</f>
        <v>39214.563633908401</v>
      </c>
      <c r="H54" s="19" t="s">
        <v>25</v>
      </c>
    </row>
    <row r="55" spans="1:12" ht="15.75" thickBot="1">
      <c r="A55" t="s">
        <v>26</v>
      </c>
      <c r="B55" s="21">
        <f>I3</f>
        <v>2015</v>
      </c>
      <c r="C55" s="19" t="s">
        <v>29</v>
      </c>
    </row>
    <row r="56" spans="1:12">
      <c r="A56" s="24" t="s">
        <v>2</v>
      </c>
      <c r="B56" s="163" t="s">
        <v>38</v>
      </c>
      <c r="C56" s="164"/>
      <c r="D56" s="164"/>
      <c r="E56" s="164"/>
      <c r="F56" s="163" t="s">
        <v>39</v>
      </c>
      <c r="G56" s="164"/>
      <c r="H56" s="165"/>
      <c r="I56" s="163" t="s">
        <v>40</v>
      </c>
      <c r="J56" s="164"/>
      <c r="K56" s="164"/>
      <c r="L56" s="165"/>
    </row>
    <row r="57" spans="1:12" ht="15.75" thickBot="1">
      <c r="A57" s="25"/>
      <c r="B57" s="188"/>
      <c r="C57" s="189"/>
      <c r="D57" s="189"/>
      <c r="E57" s="189"/>
      <c r="F57" s="188"/>
      <c r="G57" s="189"/>
      <c r="H57" s="190"/>
      <c r="I57" s="188" t="s">
        <v>41</v>
      </c>
      <c r="J57" s="189"/>
      <c r="K57" s="189"/>
      <c r="L57" s="190"/>
    </row>
    <row r="58" spans="1:12">
      <c r="A58" s="54" t="s">
        <v>32</v>
      </c>
      <c r="B58" s="191" t="s">
        <v>42</v>
      </c>
      <c r="C58" s="191"/>
      <c r="D58" s="191"/>
      <c r="E58" s="192"/>
      <c r="F58" s="193" t="s">
        <v>168</v>
      </c>
      <c r="G58" s="194"/>
      <c r="H58" s="195"/>
      <c r="I58" s="193" t="s">
        <v>146</v>
      </c>
      <c r="J58" s="194"/>
      <c r="K58" s="194"/>
      <c r="L58" s="195"/>
    </row>
    <row r="59" spans="1:12">
      <c r="A59" s="29" t="s">
        <v>33</v>
      </c>
      <c r="B59" s="150" t="s">
        <v>43</v>
      </c>
      <c r="C59" s="150"/>
      <c r="D59" s="150"/>
      <c r="E59" s="166"/>
      <c r="F59" s="182" t="s">
        <v>169</v>
      </c>
      <c r="G59" s="183"/>
      <c r="H59" s="184"/>
      <c r="I59" s="182" t="s">
        <v>47</v>
      </c>
      <c r="J59" s="183"/>
      <c r="K59" s="183"/>
      <c r="L59" s="184"/>
    </row>
    <row r="60" spans="1:12">
      <c r="A60" s="29" t="s">
        <v>34</v>
      </c>
      <c r="B60" s="149" t="s">
        <v>147</v>
      </c>
      <c r="C60" s="150"/>
      <c r="D60" s="150"/>
      <c r="E60" s="166"/>
      <c r="F60" s="182" t="s">
        <v>148</v>
      </c>
      <c r="G60" s="183"/>
      <c r="H60" s="184"/>
      <c r="I60" s="182" t="s">
        <v>149</v>
      </c>
      <c r="J60" s="183"/>
      <c r="K60" s="183"/>
      <c r="L60" s="184"/>
    </row>
    <row r="61" spans="1:12">
      <c r="A61" s="29" t="s">
        <v>35</v>
      </c>
      <c r="B61" s="150" t="s">
        <v>44</v>
      </c>
      <c r="C61" s="150"/>
      <c r="D61" s="150"/>
      <c r="E61" s="166"/>
      <c r="F61" s="182" t="s">
        <v>150</v>
      </c>
      <c r="G61" s="183"/>
      <c r="H61" s="184"/>
      <c r="I61" s="182" t="s">
        <v>151</v>
      </c>
      <c r="J61" s="183"/>
      <c r="K61" s="183"/>
      <c r="L61" s="184"/>
    </row>
    <row r="62" spans="1:12">
      <c r="A62" s="29" t="s">
        <v>36</v>
      </c>
      <c r="B62" s="150" t="s">
        <v>45</v>
      </c>
      <c r="C62" s="150"/>
      <c r="D62" s="150"/>
      <c r="E62" s="166"/>
      <c r="F62" s="182" t="s">
        <v>152</v>
      </c>
      <c r="G62" s="183"/>
      <c r="H62" s="184"/>
      <c r="I62" s="182" t="s">
        <v>153</v>
      </c>
      <c r="J62" s="183"/>
      <c r="K62" s="183"/>
      <c r="L62" s="184"/>
    </row>
    <row r="63" spans="1:12" ht="15.75" thickBot="1">
      <c r="A63" s="70" t="s">
        <v>37</v>
      </c>
      <c r="B63" s="177" t="s">
        <v>46</v>
      </c>
      <c r="C63" s="177"/>
      <c r="D63" s="177"/>
      <c r="E63" s="178"/>
      <c r="F63" s="179" t="s">
        <v>154</v>
      </c>
      <c r="G63" s="180"/>
      <c r="H63" s="181"/>
      <c r="I63" s="179" t="s">
        <v>155</v>
      </c>
      <c r="J63" s="180"/>
      <c r="K63" s="180"/>
      <c r="L63" s="181"/>
    </row>
    <row r="65" spans="1:12">
      <c r="A65" s="12" t="s">
        <v>51</v>
      </c>
      <c r="B65" s="21">
        <f>I3+1</f>
        <v>2016</v>
      </c>
      <c r="C65" s="19" t="s">
        <v>52</v>
      </c>
    </row>
    <row r="66" spans="1:12">
      <c r="A66" s="117" t="s">
        <v>105</v>
      </c>
    </row>
    <row r="67" spans="1:12">
      <c r="A67" s="23" t="s">
        <v>48</v>
      </c>
    </row>
    <row r="68" spans="1:12">
      <c r="A68" s="117" t="s">
        <v>49</v>
      </c>
      <c r="G68" s="19" t="s">
        <v>50</v>
      </c>
    </row>
    <row r="69" spans="1:12">
      <c r="A69" s="117" t="s">
        <v>106</v>
      </c>
      <c r="D69" s="19" t="s">
        <v>107</v>
      </c>
      <c r="H69" s="19" t="s">
        <v>108</v>
      </c>
    </row>
    <row r="70" spans="1:12">
      <c r="A70" s="117" t="s">
        <v>109</v>
      </c>
      <c r="E70" s="21">
        <v>2012</v>
      </c>
      <c r="F70" s="19" t="s">
        <v>110</v>
      </c>
      <c r="K70" s="21">
        <v>2013</v>
      </c>
      <c r="L70" s="19" t="s">
        <v>111</v>
      </c>
    </row>
    <row r="71" spans="1:12">
      <c r="A71" s="117" t="s">
        <v>112</v>
      </c>
    </row>
    <row r="72" spans="1:12">
      <c r="A72" s="117" t="s">
        <v>113</v>
      </c>
    </row>
    <row r="73" spans="1:12">
      <c r="A73" s="117" t="s">
        <v>114</v>
      </c>
    </row>
    <row r="74" spans="1:12">
      <c r="A74" s="117" t="s">
        <v>115</v>
      </c>
    </row>
    <row r="75" spans="1:12">
      <c r="A75" s="117" t="s">
        <v>116</v>
      </c>
    </row>
    <row r="76" spans="1:12">
      <c r="A76" s="115"/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1:12">
      <c r="A77" s="115"/>
      <c r="B77" s="108"/>
      <c r="C77" s="108"/>
      <c r="D77" s="108"/>
      <c r="E77" s="108"/>
      <c r="F77" s="108"/>
      <c r="G77" s="108"/>
      <c r="H77" s="108"/>
      <c r="I77" s="108"/>
      <c r="J77" s="108"/>
      <c r="K77" s="108"/>
    </row>
    <row r="78" spans="1:12">
      <c r="A78" s="117" t="s">
        <v>53</v>
      </c>
      <c r="B78" s="21">
        <f>I3+1</f>
        <v>2016</v>
      </c>
      <c r="C78" s="19" t="s">
        <v>54</v>
      </c>
    </row>
    <row r="79" spans="1:12">
      <c r="A79" s="117" t="s">
        <v>55</v>
      </c>
    </row>
    <row r="80" spans="1:12">
      <c r="A80" s="117" t="s">
        <v>56</v>
      </c>
      <c r="J80" s="15">
        <v>15000</v>
      </c>
      <c r="K80" s="19" t="s">
        <v>10</v>
      </c>
    </row>
    <row r="81" spans="1:11">
      <c r="A81" s="162" t="s">
        <v>79</v>
      </c>
      <c r="B81" s="162"/>
      <c r="C81" s="162"/>
      <c r="D81" s="162"/>
      <c r="E81" s="162"/>
      <c r="J81" s="15">
        <v>10000</v>
      </c>
      <c r="K81" s="19" t="s">
        <v>10</v>
      </c>
    </row>
    <row r="82" spans="1:11">
      <c r="A82" s="117" t="s">
        <v>57</v>
      </c>
      <c r="J82" s="15">
        <v>1500</v>
      </c>
      <c r="K82" s="19" t="s">
        <v>10</v>
      </c>
    </row>
    <row r="83" spans="1:11">
      <c r="A83" s="117" t="s">
        <v>78</v>
      </c>
      <c r="J83" s="15">
        <v>15000</v>
      </c>
      <c r="K83" s="19" t="s">
        <v>10</v>
      </c>
    </row>
    <row r="84" spans="1:11">
      <c r="A84" s="117" t="s">
        <v>58</v>
      </c>
      <c r="J84" s="15">
        <v>8000</v>
      </c>
      <c r="K84" s="19" t="s">
        <v>10</v>
      </c>
    </row>
    <row r="85" spans="1:11">
      <c r="A85" s="117" t="s">
        <v>59</v>
      </c>
      <c r="J85" s="15">
        <v>8000</v>
      </c>
      <c r="K85" s="19" t="s">
        <v>10</v>
      </c>
    </row>
    <row r="86" spans="1:11">
      <c r="A86" s="13" t="s">
        <v>60</v>
      </c>
      <c r="J86" s="96">
        <f>SUM(J80:J85)</f>
        <v>57500</v>
      </c>
      <c r="K86" s="109" t="s">
        <v>61</v>
      </c>
    </row>
    <row r="87" spans="1:11">
      <c r="A87" s="117" t="s">
        <v>62</v>
      </c>
      <c r="H87" s="21">
        <f>I3</f>
        <v>2015</v>
      </c>
      <c r="I87" s="19" t="s">
        <v>70</v>
      </c>
      <c r="K87" s="96">
        <f>G54</f>
        <v>39214.563633908401</v>
      </c>
    </row>
    <row r="88" spans="1:11">
      <c r="A88" s="117" t="s">
        <v>63</v>
      </c>
      <c r="C88" s="107">
        <f>J86+K87</f>
        <v>96714.563633908401</v>
      </c>
      <c r="D88" s="21" t="s">
        <v>64</v>
      </c>
      <c r="E88" s="110">
        <f>I3+1</f>
        <v>2016</v>
      </c>
      <c r="F88" s="19" t="s">
        <v>66</v>
      </c>
      <c r="H88" s="93">
        <f>C88/(E5*12)</f>
        <v>3.0385865516107549</v>
      </c>
      <c r="I88" s="19" t="s">
        <v>67</v>
      </c>
    </row>
    <row r="90" spans="1:11">
      <c r="B90" s="19" t="s">
        <v>68</v>
      </c>
    </row>
    <row r="91" spans="1:11">
      <c r="B91" s="19" t="s">
        <v>39</v>
      </c>
      <c r="I91" s="19" t="s">
        <v>69</v>
      </c>
    </row>
  </sheetData>
  <mergeCells count="93">
    <mergeCell ref="A81:E81"/>
    <mergeCell ref="B62:E62"/>
    <mergeCell ref="F62:H62"/>
    <mergeCell ref="I62:L62"/>
    <mergeCell ref="B63:E63"/>
    <mergeCell ref="F63:H63"/>
    <mergeCell ref="I63:L63"/>
    <mergeCell ref="B60:E60"/>
    <mergeCell ref="F60:H60"/>
    <mergeCell ref="I60:L60"/>
    <mergeCell ref="B61:E61"/>
    <mergeCell ref="F61:H61"/>
    <mergeCell ref="I61:L61"/>
    <mergeCell ref="B58:E58"/>
    <mergeCell ref="F58:H58"/>
    <mergeCell ref="I58:L58"/>
    <mergeCell ref="B59:E59"/>
    <mergeCell ref="F59:H59"/>
    <mergeCell ref="I59:L59"/>
    <mergeCell ref="B57:E57"/>
    <mergeCell ref="F57:H57"/>
    <mergeCell ref="I57:L57"/>
    <mergeCell ref="B48:H48"/>
    <mergeCell ref="K48:L48"/>
    <mergeCell ref="B49:H49"/>
    <mergeCell ref="K49:L49"/>
    <mergeCell ref="B50:H50"/>
    <mergeCell ref="K50:L50"/>
    <mergeCell ref="K51:L51"/>
    <mergeCell ref="K52:L52"/>
    <mergeCell ref="B56:E56"/>
    <mergeCell ref="F56:H56"/>
    <mergeCell ref="I56:L56"/>
    <mergeCell ref="B45:H45"/>
    <mergeCell ref="K45:L45"/>
    <mergeCell ref="B46:H46"/>
    <mergeCell ref="K46:L46"/>
    <mergeCell ref="B47:H47"/>
    <mergeCell ref="K47:L47"/>
    <mergeCell ref="B42:H42"/>
    <mergeCell ref="K42:L42"/>
    <mergeCell ref="B43:H43"/>
    <mergeCell ref="K43:L43"/>
    <mergeCell ref="B44:H44"/>
    <mergeCell ref="K44:L44"/>
    <mergeCell ref="B39:H39"/>
    <mergeCell ref="K39:L39"/>
    <mergeCell ref="B40:H40"/>
    <mergeCell ref="K40:L40"/>
    <mergeCell ref="B41:H41"/>
    <mergeCell ref="K41:L41"/>
    <mergeCell ref="B36:H36"/>
    <mergeCell ref="K36:L36"/>
    <mergeCell ref="B37:H37"/>
    <mergeCell ref="K37:L37"/>
    <mergeCell ref="B38:H38"/>
    <mergeCell ref="K38:L38"/>
    <mergeCell ref="B33:H33"/>
    <mergeCell ref="K33:L33"/>
    <mergeCell ref="B34:H34"/>
    <mergeCell ref="K34:L34"/>
    <mergeCell ref="B35:H35"/>
    <mergeCell ref="K35:L35"/>
    <mergeCell ref="B30:H30"/>
    <mergeCell ref="K30:L30"/>
    <mergeCell ref="B31:H31"/>
    <mergeCell ref="K31:L31"/>
    <mergeCell ref="B32:H32"/>
    <mergeCell ref="K32:L32"/>
    <mergeCell ref="B27:H27"/>
    <mergeCell ref="K27:L27"/>
    <mergeCell ref="B28:H28"/>
    <mergeCell ref="K28:L28"/>
    <mergeCell ref="B29:H29"/>
    <mergeCell ref="K29:L29"/>
    <mergeCell ref="B24:H24"/>
    <mergeCell ref="K24:L24"/>
    <mergeCell ref="B25:H25"/>
    <mergeCell ref="K25:L25"/>
    <mergeCell ref="B26:H26"/>
    <mergeCell ref="K26:L26"/>
    <mergeCell ref="B21:H21"/>
    <mergeCell ref="K21:L21"/>
    <mergeCell ref="B22:H22"/>
    <mergeCell ref="K22:L22"/>
    <mergeCell ref="B23:H23"/>
    <mergeCell ref="K23:L23"/>
    <mergeCell ref="A1:L1"/>
    <mergeCell ref="A2:L2"/>
    <mergeCell ref="A6:B6"/>
    <mergeCell ref="A19:B19"/>
    <mergeCell ref="B20:H20"/>
    <mergeCell ref="K20:L20"/>
  </mergeCells>
  <pageMargins left="0.19685039370078741" right="0.11811023622047245" top="0.21" bottom="0.23" header="0.16" footer="0.16"/>
  <pageSetup paperSize="9" scale="9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2013</vt:lpstr>
      <vt:lpstr>2014</vt:lpstr>
      <vt:lpstr>2015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2015-05-22T01:21:16Z</dcterms:modified>
</cp:coreProperties>
</file>