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2013" sheetId="1" r:id="rId1"/>
    <sheet name="2014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43" i="2"/>
  <c r="J81" l="1"/>
  <c r="G19" l="1"/>
  <c r="K40"/>
  <c r="K39"/>
  <c r="K38" l="1"/>
  <c r="K36" l="1"/>
  <c r="K35"/>
  <c r="K34" l="1"/>
  <c r="K30"/>
  <c r="K28" l="1"/>
  <c r="U30" i="1"/>
  <c r="V28" s="1"/>
  <c r="V27" l="1"/>
  <c r="V25"/>
  <c r="V29"/>
  <c r="V26"/>
  <c r="V24"/>
  <c r="V30" l="1"/>
  <c r="J81" l="1"/>
  <c r="G20"/>
  <c r="K34" l="1"/>
  <c r="K33"/>
  <c r="K32"/>
  <c r="K40" l="1"/>
  <c r="K26" i="2" l="1"/>
  <c r="K24" l="1"/>
  <c r="K44" s="1"/>
  <c r="K25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K45" l="1"/>
  <c r="K46" s="1"/>
  <c r="E83"/>
  <c r="H82"/>
  <c r="B67"/>
  <c r="B59"/>
  <c r="B50"/>
  <c r="D49"/>
  <c r="G17"/>
  <c r="G16"/>
  <c r="G15"/>
  <c r="G14"/>
  <c r="G7"/>
  <c r="I7" s="1"/>
  <c r="B6"/>
  <c r="K47" l="1"/>
  <c r="G49" s="1"/>
  <c r="K82" s="1"/>
  <c r="J13"/>
  <c r="A20"/>
  <c r="C83" l="1"/>
  <c r="H83" s="1"/>
  <c r="F61" s="1"/>
  <c r="K36" i="1"/>
  <c r="K35"/>
  <c r="K45" l="1"/>
  <c r="K44"/>
  <c r="K42"/>
  <c r="K41"/>
  <c r="K39"/>
  <c r="K38"/>
  <c r="K27"/>
  <c r="K46" s="1"/>
  <c r="G7"/>
  <c r="K47" l="1"/>
  <c r="K48" s="1"/>
  <c r="K49" s="1"/>
  <c r="G18"/>
  <c r="G17"/>
  <c r="G16"/>
  <c r="G15"/>
  <c r="J14" l="1"/>
  <c r="I7"/>
  <c r="E83"/>
  <c r="H82"/>
  <c r="B72"/>
  <c r="B62"/>
  <c r="B52"/>
  <c r="D51"/>
  <c r="B6"/>
  <c r="A21" l="1"/>
  <c r="G51"/>
  <c r="K82" l="1"/>
  <c r="C83" l="1"/>
  <c r="H83" s="1"/>
  <c r="F65" s="1"/>
</calcChain>
</file>

<file path=xl/sharedStrings.xml><?xml version="1.0" encoding="utf-8"?>
<sst xmlns="http://schemas.openxmlformats.org/spreadsheetml/2006/main" count="387" uniqueCount="202">
  <si>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</si>
  <si>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</si>
  <si>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</si>
  <si>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</si>
  <si>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</si>
  <si>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</si>
  <si>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</si>
  <si>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</si>
  <si>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</si>
  <si>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</si>
  <si>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</si>
  <si>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</si>
  <si>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</si>
  <si>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</si>
  <si>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</si>
  <si>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</si>
  <si>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</si>
  <si>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</si>
  <si>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</si>
  <si>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</si>
  <si>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</si>
  <si>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</si>
  <si>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</si>
  <si>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</si>
  <si>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</si>
  <si>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</si>
  <si>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</si>
  <si>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</si>
  <si>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</si>
  <si>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</si>
  <si>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</si>
  <si>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</si>
  <si>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</si>
  <si>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</si>
  <si>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</si>
  <si>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</si>
  <si>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</si>
  <si>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</si>
  <si>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7.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</si>
  <si>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</si>
  <si>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</si>
  <si>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</si>
  <si>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</si>
  <si>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</si>
  <si>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</si>
  <si>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</si>
  <si>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</si>
  <si>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</si>
  <si>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</si>
  <si>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13,96 руб./м²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</si>
  <si>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</si>
  <si>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</si>
  <si>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</si>
  <si>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</si>
  <si>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</si>
  <si>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</si>
  <si>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</si>
  <si>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</si>
  <si>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</si>
  <si>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</si>
  <si>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</si>
  <si>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</si>
  <si>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</si>
  <si>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</si>
  <si>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</si>
  <si>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</si>
  <si>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</si>
  <si>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</si>
  <si>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</si>
  <si>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</si>
  <si>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</si>
  <si>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</si>
  <si>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</si>
  <si>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</si>
  <si>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2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</si>
  <si>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</si>
  <si>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r>
      <t>17,79 руб./м</t>
    </r>
    <r>
      <rPr>
        <sz val="11"/>
        <color theme="1"/>
        <rFont val="Calibri"/>
        <family val="2"/>
        <charset val="204"/>
      </rPr>
      <t>²</t>
    </r>
  </si>
  <si>
    <t>25,10 руб./м²</t>
  </si>
  <si>
    <t>213,71 руб./чел.</t>
  </si>
  <si>
    <t>277,84 руб./чел.</t>
  </si>
  <si>
    <t>58,92 руб./чел.</t>
  </si>
  <si>
    <t>62,70 руб./чел.</t>
  </si>
  <si>
    <t>93,17 руб./чел.</t>
  </si>
  <si>
    <t>112,91 руб./чел.</t>
  </si>
  <si>
    <t xml:space="preserve">  -  передача наружных инженерных сетей</t>
  </si>
  <si>
    <t xml:space="preserve">  -  чистка кровли от снега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</si>
  <si>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</si>
  <si>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</si>
  <si>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</si>
  <si>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</si>
  <si>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 xml:space="preserve"> ежемесячно равными долями, исходя из объемов потребления в 2012 году, с последующим перерасчетом в декабре 2013 г.,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</si>
  <si>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</si>
  <si>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</si>
  <si>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   рублей        (</t>
  </si>
  <si>
    <t xml:space="preserve">микрорайон Первомайский за </t>
  </si>
  <si>
    <t xml:space="preserve"> - содержание общего имущества -      рубля с кв.метра общей площади в месяц;</t>
  </si>
  <si>
    <t xml:space="preserve"> - содержание общедомовых приборов учета -      рубля с кв.метра в месяц;</t>
  </si>
  <si>
    <t>33/2</t>
  </si>
  <si>
    <t>33/2   (</t>
  </si>
  <si>
    <t>Установка замка накладного на двходную дверь чердака</t>
  </si>
  <si>
    <t>Замена светильника на 1 этаже, замена эн.сб.ламп</t>
  </si>
  <si>
    <t>Уборка снега с кровли</t>
  </si>
  <si>
    <t>Ремонт кровли (закрепление дек. листов)на крыше</t>
  </si>
  <si>
    <t xml:space="preserve">Генеральная уборка подъезда в апреле </t>
  </si>
  <si>
    <t>Ежегодное  тех. освидетельствование лифта</t>
  </si>
  <si>
    <t xml:space="preserve">Изготовление и монтаж ограждения газона </t>
  </si>
  <si>
    <t>шт.</t>
  </si>
  <si>
    <t>м</t>
  </si>
  <si>
    <t>Перерасход (+) или экономия (-) средств в 2012 году.</t>
  </si>
  <si>
    <t>Акт выполненных работ 12.02.2013</t>
  </si>
  <si>
    <t>Акт выполненных работ февраль 2013</t>
  </si>
  <si>
    <t>Акт выполненных работ 05.03.2013</t>
  </si>
  <si>
    <t>Счет № 11 от 05.03.2013</t>
  </si>
  <si>
    <t>Счет № 13 от 15.04.2013</t>
  </si>
  <si>
    <t>акт выполненных работ от 08.04.2013</t>
  </si>
  <si>
    <t>Акт выполненных работ 09.05.2013</t>
  </si>
  <si>
    <t>Акт выполненных работ июля 2013 г.</t>
  </si>
  <si>
    <t>Установка энергосберегающих ламп в светильники в подвале.</t>
  </si>
  <si>
    <t>Акт выполненных работ сентябрь 2013 г.</t>
  </si>
  <si>
    <t>Генеральная уборка подъезда в сентябре.</t>
  </si>
  <si>
    <r>
      <t>м</t>
    </r>
    <r>
      <rPr>
        <sz val="11"/>
        <color theme="1"/>
        <rFont val="Calibri"/>
        <family val="2"/>
        <charset val="204"/>
      </rPr>
      <t>²</t>
    </r>
  </si>
  <si>
    <t>Замена рубильника в ВРУ (аварийно).</t>
  </si>
  <si>
    <t>Акт выполненных работ октябрь 2013 г.</t>
  </si>
  <si>
    <t>Акт выполненных работ от октябрь 2013г.</t>
  </si>
  <si>
    <t>Ремонт освещения в подъезде (ремонт светильника).</t>
  </si>
  <si>
    <t>Наклейки - обозначения в ИТП.</t>
  </si>
  <si>
    <t>Счет № А-00002833 от 18.09.2013г.</t>
  </si>
  <si>
    <t>Установка новогоднкей елки</t>
  </si>
  <si>
    <t>т.</t>
  </si>
  <si>
    <t>Аварийная чистка наружных сетей канализации от КК-5 ,КК-5 (21,1%)</t>
  </si>
  <si>
    <t>Аварийная чистка наружных сетей канализации от КК-5 по КК-11 (14,1%)</t>
  </si>
  <si>
    <t>Тех. обслуживание лифта.</t>
  </si>
  <si>
    <t>счет№75 от 30 апреля 2013г.</t>
  </si>
  <si>
    <t>(счет лежит в папке МС 2)</t>
  </si>
  <si>
    <t xml:space="preserve">Акт выполненных работ от 6.06.2013г.    </t>
  </si>
  <si>
    <t>шт</t>
  </si>
  <si>
    <t>Акт выполненных работ от 05.06.2013</t>
  </si>
  <si>
    <t>Акт выполненных работ от 10.06.2013</t>
  </si>
  <si>
    <t>Аварийная чистка канализации КК 4,5 в мае (14,03%).</t>
  </si>
  <si>
    <t>Аварийная чистка канализации КК 4-5  8-9 июня вручную (14,03%).</t>
  </si>
  <si>
    <t>Благоустройство территории (чернозем) (14,03%).</t>
  </si>
  <si>
    <t>Благоустройство территории (песок) (14,03%).</t>
  </si>
  <si>
    <t>Ремонт малых форм на детской площадке  (14,03%).</t>
  </si>
  <si>
    <t>Аварийная чистка канализации КК4,5 от 05.06.2013 (14,03%).</t>
  </si>
  <si>
    <t>Управление МКД (14%)</t>
  </si>
  <si>
    <r>
      <t xml:space="preserve">оф.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</si>
  <si>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 </t>
    </r>
    <r>
      <rPr>
        <b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</si>
  <si>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t xml:space="preserve">кв.  </t>
    </r>
    <r>
      <rPr>
        <b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</si>
  <si>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6 -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</si>
  <si>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10 -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</si>
  <si>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13 -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</si>
  <si>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24 -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</si>
  <si>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35 -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</si>
  <si>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36 - </t>
    </r>
  </si>
  <si>
    <t>Всего в 2013году:</t>
  </si>
  <si>
    <t>ИТОГО за 2013год:</t>
  </si>
  <si>
    <t>ИТОГО на 31.12.2013г: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</si>
  <si>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</si>
  <si>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r>
      <t>15,64 руб./м</t>
    </r>
    <r>
      <rPr>
        <sz val="11"/>
        <color theme="1"/>
        <rFont val="Calibri"/>
        <family val="2"/>
        <charset val="204"/>
      </rPr>
      <t>²</t>
    </r>
  </si>
  <si>
    <t xml:space="preserve"> -   генеральная уборка подъезда</t>
  </si>
  <si>
    <t>П 33/2(I)</t>
  </si>
  <si>
    <t>Пер 33-1</t>
  </si>
  <si>
    <t>Пер 33-2</t>
  </si>
  <si>
    <t>Пер 33-3</t>
  </si>
  <si>
    <t>Пер 33-4</t>
  </si>
  <si>
    <t>Пер 33-5</t>
  </si>
  <si>
    <t>Пер 33-6</t>
  </si>
  <si>
    <t>Уборка снега с придомовой территории(14,03%)</t>
  </si>
  <si>
    <t>маш/час</t>
  </si>
  <si>
    <t>Перерасход (+) или экономия (-) средств в 2013 году.</t>
  </si>
  <si>
    <t>Ремонт освещения МОП в подъезде (замена светильников на 1,4 этажах)</t>
  </si>
  <si>
    <t>Генеральная уборка в апреле.</t>
  </si>
  <si>
    <t>Монтаж профлиста с помощью промышленного альпинизма.</t>
  </si>
  <si>
    <t>Замена светильника ЛПО 2*36 на 1 этаже.</t>
  </si>
  <si>
    <t>Госповерка теплосчетчиков (70,85%)</t>
  </si>
  <si>
    <t>Замена грязеотстойника в тепловом пункте (50%)</t>
  </si>
  <si>
    <t>Генеральная уборка в сентябре.</t>
  </si>
  <si>
    <t xml:space="preserve">Замена манометров в ИТП (50%). </t>
  </si>
  <si>
    <t xml:space="preserve">Замена термометров в ИТП (50%). </t>
  </si>
  <si>
    <t>Передача бесхозных сетей тепловой энергии.</t>
  </si>
  <si>
    <t xml:space="preserve"> -</t>
  </si>
  <si>
    <t>Техническое освидетельствование лифта.</t>
  </si>
  <si>
    <t>Монтаж решетки на окно в цокольном этаже.</t>
  </si>
  <si>
    <t>Монтаж оборудования для электроснабжения ИТП(5,28%)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</si>
  <si>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1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</si>
  <si>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20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</si>
  <si>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t xml:space="preserve"> - монтаж снегозадерживающих устройств на кровле </t>
  </si>
  <si>
    <t xml:space="preserve"> - косметический ремонт 1 этажа</t>
  </si>
  <si>
    <t xml:space="preserve"> - замена тамбурной двери</t>
  </si>
  <si>
    <t xml:space="preserve"> - монтаж системы видео наблюдения</t>
  </si>
  <si>
    <t xml:space="preserve"> - благоустройство посадка деревьев и кустарников (живая изгородь)</t>
  </si>
  <si>
    <t xml:space="preserve">  - монтаж греющего кабеля на водосточную систему</t>
  </si>
  <si>
    <t>Ремонт светильника ЛПО на 1 этаже.</t>
  </si>
  <si>
    <r>
      <t>14,52 руб./м</t>
    </r>
    <r>
      <rPr>
        <sz val="11"/>
        <color theme="1"/>
        <rFont val="Calibri"/>
        <family val="2"/>
        <charset val="204"/>
      </rPr>
      <t>²</t>
    </r>
  </si>
  <si>
    <t xml:space="preserve"> - содержание общего имущества -  14,52   рубля с кв.метра общей площади в месяц;</t>
  </si>
  <si>
    <t>Благоустройство территории (завоз песка) (28,09%)</t>
  </si>
  <si>
    <t>Установка новогодней елки, проведение новогоднего праздника.</t>
  </si>
  <si>
    <t>Всего в 2014году:</t>
  </si>
  <si>
    <t>ИТОГО за 2014год:</t>
  </si>
  <si>
    <t>ИТОГО на 31.12.2014г:</t>
  </si>
  <si>
    <t>Накладные расходы (14%)</t>
  </si>
  <si>
    <t>рублей (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</si>
</sst>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4ECC5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0" xfId="0" applyFill="1" applyBorder="1"/>
    <xf numFmtId="0" fontId="8" fillId="0" borderId="0" xfId="0" applyFont="1" applyBorder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9" fillId="3" borderId="16" xfId="0" applyNumberFormat="1" applyFont="1" applyFill="1" applyBorder="1" applyAlignment="1">
      <alignment horizontal="right" vertical="top" wrapText="1"/>
    </xf>
    <xf numFmtId="2" fontId="9" fillId="3" borderId="17" xfId="0" applyNumberFormat="1" applyFont="1" applyFill="1" applyBorder="1" applyAlignment="1">
      <alignment horizontal="right" vertical="top" wrapText="1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/>
    <xf numFmtId="0" fontId="11" fillId="0" borderId="0" xfId="0" applyFont="1" applyFill="1"/>
    <xf numFmtId="4" fontId="0" fillId="0" borderId="0" xfId="0" applyNumberFormat="1" applyFill="1"/>
    <xf numFmtId="4" fontId="1" fillId="0" borderId="0" xfId="0" applyNumberFormat="1" applyFont="1" applyFill="1"/>
    <xf numFmtId="0" fontId="11" fillId="2" borderId="0" xfId="0" applyFont="1" applyFill="1"/>
    <xf numFmtId="0" fontId="0" fillId="2" borderId="0" xfId="0" applyFill="1"/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4" fontId="6" fillId="0" borderId="0" xfId="0" applyNumberFormat="1" applyFont="1" applyFill="1"/>
    <xf numFmtId="0" fontId="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 applyAlignment="1"/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1" fillId="0" borderId="0" xfId="0" applyNumberFormat="1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/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8" xfId="0" applyBorder="1"/>
    <xf numFmtId="4" fontId="0" fillId="0" borderId="18" xfId="0" applyNumberFormat="1" applyBorder="1"/>
    <xf numFmtId="4" fontId="0" fillId="0" borderId="1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/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0" xfId="0" applyFont="1" applyFill="1" applyAlignment="1">
      <alignment horizontal="center"/>
    </xf>
    <xf numFmtId="49" fontId="0" fillId="0" borderId="0" xfId="0" applyNumberFormat="1" applyFill="1" applyBorder="1" applyAlignment="1">
      <alignment horizontal="left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0" fontId="0" fillId="0" borderId="8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4" fontId="3" fillId="0" borderId="6" xfId="0" applyNumberFormat="1" applyFont="1" applyFill="1" applyBorder="1" applyAlignment="1"/>
    <xf numFmtId="4" fontId="3" fillId="0" borderId="7" xfId="0" applyNumberFormat="1" applyFont="1" applyFill="1" applyBorder="1" applyAlignment="1"/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0" fillId="0" borderId="0" xfId="0" applyNumberFormat="1" applyFill="1" applyBorder="1" applyAlignment="1"/>
    <xf numFmtId="4" fontId="1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1" fillId="0" borderId="11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0" fillId="0" borderId="0" xfId="0" applyNumberFormat="1" applyFill="1" applyBorder="1" applyAlignment="1">
      <alignment vertical="center"/>
    </xf>
    <xf numFmtId="4" fontId="0" fillId="0" borderId="9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9" fontId="0" fillId="0" borderId="0" xfId="0" applyNumberFormat="1" applyFill="1" applyBorder="1" applyAlignment="1">
      <alignment horizontal="left"/>
    </xf>
    <xf numFmtId="4" fontId="1" fillId="0" borderId="6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0" fontId="7" fillId="0" borderId="0" xfId="0" applyFont="1" applyFill="1" applyAlignment="1">
      <alignment horizontal="center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5" xfId="0" applyFill="1" applyBorder="1" applyAlignment="1">
      <alignment horizontal="left"/>
    </xf>
    <xf numFmtId="4" fontId="0" fillId="0" borderId="13" xfId="0" applyNumberFormat="1" applyBorder="1" applyAlignment="1"/>
    <xf numFmtId="4" fontId="0" fillId="0" borderId="15" xfId="0" applyNumberFormat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10" fillId="0" borderId="8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0" fillId="0" borderId="8" xfId="0" applyFill="1" applyBorder="1" applyAlignment="1"/>
    <xf numFmtId="0" fontId="0" fillId="0" borderId="0" xfId="0" applyFill="1" applyBorder="1" applyAlignment="1"/>
    <xf numFmtId="0" fontId="0" fillId="0" borderId="9" xfId="0" applyFill="1" applyBorder="1" applyAlignment="1"/>
    <xf numFmtId="4" fontId="0" fillId="0" borderId="9" xfId="0" applyNumberFormat="1" applyFont="1" applyBorder="1" applyAlignment="1">
      <alignment horizontal="right"/>
    </xf>
    <xf numFmtId="4" fontId="0" fillId="0" borderId="8" xfId="0" applyNumberFormat="1" applyFill="1" applyBorder="1" applyAlignment="1">
      <alignment horizontal="right"/>
    </xf>
    <xf numFmtId="4" fontId="0" fillId="0" borderId="0" xfId="0" applyNumberFormat="1" applyBorder="1" applyAlignment="1"/>
    <xf numFmtId="4" fontId="10" fillId="0" borderId="8" xfId="0" applyNumberFormat="1" applyFont="1" applyFill="1" applyBorder="1" applyAlignment="1">
      <alignment horizontal="right"/>
    </xf>
    <xf numFmtId="4" fontId="10" fillId="0" borderId="9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7"/>
  <sheetViews>
    <sheetView topLeftCell="A22" workbookViewId="0">
      <selection activeCell="A87" sqref="A87:XFD87"/>
    </sheetView>
  </sheetViews>
  <sheetFormatPr defaultRowHeight="15"/>
  <cols>
    <col min="1" max="1" width="5.7109375" style="43" customWidth="1"/>
    <col min="2" max="2" width="9.85546875" style="43" customWidth="1"/>
    <col min="3" max="3" width="10.7109375" style="43" customWidth="1"/>
    <col min="4" max="4" width="6.28515625" style="43" customWidth="1"/>
    <col min="5" max="5" width="7.7109375" style="43" customWidth="1"/>
    <col min="6" max="6" width="8.85546875" style="43" customWidth="1"/>
    <col min="7" max="7" width="13" style="43" customWidth="1"/>
    <col min="8" max="8" width="12.140625" style="43" customWidth="1"/>
    <col min="9" max="9" width="9.42578125" style="43" customWidth="1"/>
    <col min="10" max="10" width="11.42578125" style="43" customWidth="1"/>
    <col min="11" max="11" width="8.7109375" style="43" customWidth="1"/>
    <col min="12" max="12" width="3.85546875" style="43" customWidth="1"/>
  </cols>
  <sheetData>
    <row r="1" spans="1:14">
      <c r="K1" s="161" t="s">
        <v>160</v>
      </c>
      <c r="L1" s="161"/>
    </row>
    <row r="2" spans="1:14" ht="18.7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4" ht="18.7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4" ht="18.75">
      <c r="A4" s="53"/>
      <c r="B4" s="2"/>
      <c r="C4" s="53"/>
      <c r="D4" s="54" t="s">
        <v>2</v>
      </c>
      <c r="E4" s="2" t="s">
        <v>97</v>
      </c>
      <c r="F4" s="55" t="s">
        <v>94</v>
      </c>
      <c r="G4" s="55"/>
      <c r="H4" s="2"/>
      <c r="I4" s="2">
        <v>2013</v>
      </c>
      <c r="J4" s="55" t="s">
        <v>22</v>
      </c>
    </row>
    <row r="5" spans="1:14" ht="15.75" thickBot="1"/>
    <row r="6" spans="1:14" ht="16.5" thickBot="1">
      <c r="A6" s="56" t="s">
        <v>27</v>
      </c>
      <c r="B6" s="28">
        <f>I4</f>
        <v>2013</v>
      </c>
      <c r="C6" s="43" t="s">
        <v>28</v>
      </c>
      <c r="D6" s="57" t="s">
        <v>98</v>
      </c>
      <c r="E6" s="46">
        <v>2294.9</v>
      </c>
      <c r="F6" s="43" t="s">
        <v>67</v>
      </c>
      <c r="N6" s="39">
        <v>2294.9</v>
      </c>
    </row>
    <row r="7" spans="1:14" ht="16.5" thickBot="1">
      <c r="A7" s="140">
        <v>1545790.09</v>
      </c>
      <c r="B7" s="140"/>
      <c r="C7" s="58" t="s">
        <v>3</v>
      </c>
      <c r="G7" s="59">
        <f>A7-N8</f>
        <v>1279396.4500000002</v>
      </c>
      <c r="H7" s="28" t="s">
        <v>93</v>
      </c>
      <c r="I7" s="60">
        <f>(G7/A7)*100</f>
        <v>82.766506156084887</v>
      </c>
      <c r="J7" s="43" t="s">
        <v>4</v>
      </c>
    </row>
    <row r="8" spans="1:14" ht="24" customHeight="1" thickBot="1">
      <c r="A8" s="43" t="s">
        <v>92</v>
      </c>
      <c r="J8" s="43">
        <v>266393.64</v>
      </c>
      <c r="K8" s="43" t="s">
        <v>5</v>
      </c>
      <c r="N8" s="40">
        <v>266393.64</v>
      </c>
    </row>
    <row r="9" spans="1:14">
      <c r="A9" s="43" t="s">
        <v>91</v>
      </c>
    </row>
    <row r="10" spans="1:14">
      <c r="A10" s="43" t="s">
        <v>147</v>
      </c>
      <c r="B10" s="45">
        <v>11744.93</v>
      </c>
      <c r="C10" s="43" t="s">
        <v>10</v>
      </c>
      <c r="E10" s="61" t="s">
        <v>148</v>
      </c>
      <c r="F10" s="45">
        <v>15806.69</v>
      </c>
      <c r="G10" s="43" t="s">
        <v>10</v>
      </c>
      <c r="I10" s="61" t="s">
        <v>151</v>
      </c>
      <c r="J10" s="45">
        <v>12414.18</v>
      </c>
      <c r="K10" s="43" t="s">
        <v>10</v>
      </c>
    </row>
    <row r="11" spans="1:14">
      <c r="A11" s="43" t="s">
        <v>145</v>
      </c>
      <c r="B11" s="45">
        <v>9105.75</v>
      </c>
      <c r="C11" s="43" t="s">
        <v>10</v>
      </c>
      <c r="E11" s="61" t="s">
        <v>149</v>
      </c>
      <c r="F11" s="45">
        <v>10092.799999999999</v>
      </c>
      <c r="G11" s="43" t="s">
        <v>10</v>
      </c>
      <c r="I11" s="61" t="s">
        <v>152</v>
      </c>
      <c r="J11" s="45">
        <v>36526.400000000001</v>
      </c>
      <c r="K11" s="43" t="s">
        <v>10</v>
      </c>
    </row>
    <row r="12" spans="1:14">
      <c r="A12" s="43" t="s">
        <v>146</v>
      </c>
      <c r="B12" s="45">
        <v>16037.23</v>
      </c>
      <c r="C12" s="43" t="s">
        <v>10</v>
      </c>
      <c r="E12" s="57" t="s">
        <v>150</v>
      </c>
      <c r="F12" s="45">
        <v>14791.64</v>
      </c>
      <c r="G12" s="43" t="s">
        <v>10</v>
      </c>
      <c r="I12" s="57" t="s">
        <v>153</v>
      </c>
      <c r="J12" s="45">
        <v>37887.75</v>
      </c>
      <c r="K12" s="43" t="s">
        <v>10</v>
      </c>
    </row>
    <row r="13" spans="1:14">
      <c r="B13" s="45"/>
      <c r="E13" s="57"/>
      <c r="F13" s="45"/>
      <c r="I13" s="57"/>
      <c r="J13" s="45"/>
    </row>
    <row r="14" spans="1:14" ht="18" customHeight="1">
      <c r="A14" s="43" t="s">
        <v>30</v>
      </c>
      <c r="J14" s="46">
        <f>G15+G16+G17+G18</f>
        <v>266393.64</v>
      </c>
      <c r="K14" s="62" t="s">
        <v>31</v>
      </c>
    </row>
    <row r="15" spans="1:14">
      <c r="A15" s="63" t="s">
        <v>6</v>
      </c>
      <c r="B15" s="43" t="s">
        <v>7</v>
      </c>
      <c r="G15" s="46">
        <f>(N8*43.5/100)</f>
        <v>115881.2334</v>
      </c>
      <c r="H15" s="43" t="s">
        <v>10</v>
      </c>
    </row>
    <row r="16" spans="1:14">
      <c r="A16" s="63" t="s">
        <v>6</v>
      </c>
      <c r="B16" s="43" t="s">
        <v>8</v>
      </c>
      <c r="G16" s="46">
        <f>(N8*36.6/100)</f>
        <v>97500.072240000009</v>
      </c>
      <c r="H16" s="43" t="s">
        <v>10</v>
      </c>
    </row>
    <row r="17" spans="1:22">
      <c r="A17" s="63" t="s">
        <v>6</v>
      </c>
      <c r="B17" s="43" t="s">
        <v>9</v>
      </c>
      <c r="G17" s="46">
        <f>(N8*12.5/100)</f>
        <v>33299.205000000002</v>
      </c>
      <c r="H17" s="43" t="s">
        <v>10</v>
      </c>
      <c r="K17" s="58"/>
      <c r="L17" s="64"/>
    </row>
    <row r="18" spans="1:22">
      <c r="A18" s="63" t="s">
        <v>6</v>
      </c>
      <c r="B18" s="43" t="s">
        <v>14</v>
      </c>
      <c r="G18" s="46">
        <f>(N8*7.4/100)</f>
        <v>19713.129360000003</v>
      </c>
      <c r="H18" s="43" t="s">
        <v>10</v>
      </c>
    </row>
    <row r="19" spans="1:22" ht="6.75" customHeight="1">
      <c r="G19" s="65"/>
    </row>
    <row r="20" spans="1:22">
      <c r="A20" s="66" t="s">
        <v>11</v>
      </c>
      <c r="G20" s="46">
        <f>E6*4.74*12/1.03</f>
        <v>126731.95339805826</v>
      </c>
      <c r="H20" s="43" t="s">
        <v>12</v>
      </c>
    </row>
    <row r="21" spans="1:22" ht="15.75" thickBot="1">
      <c r="A21" s="142">
        <f>G20*I7/100</f>
        <v>104891.61001093053</v>
      </c>
      <c r="B21" s="142"/>
      <c r="C21" s="43" t="s">
        <v>73</v>
      </c>
    </row>
    <row r="22" spans="1:22">
      <c r="A22" s="67" t="s">
        <v>2</v>
      </c>
      <c r="B22" s="143" t="s">
        <v>20</v>
      </c>
      <c r="C22" s="149"/>
      <c r="D22" s="149"/>
      <c r="E22" s="149"/>
      <c r="F22" s="149"/>
      <c r="G22" s="149"/>
      <c r="H22" s="144"/>
      <c r="I22" s="67" t="s">
        <v>18</v>
      </c>
      <c r="J22" s="68" t="s">
        <v>17</v>
      </c>
      <c r="K22" s="143" t="s">
        <v>15</v>
      </c>
      <c r="L22" s="144"/>
    </row>
    <row r="23" spans="1:22" ht="15.75" thickBot="1">
      <c r="A23" s="69" t="s">
        <v>13</v>
      </c>
      <c r="B23" s="121"/>
      <c r="C23" s="122"/>
      <c r="D23" s="122"/>
      <c r="E23" s="122"/>
      <c r="F23" s="122"/>
      <c r="G23" s="122"/>
      <c r="H23" s="123"/>
      <c r="I23" s="70" t="s">
        <v>19</v>
      </c>
      <c r="J23" s="71"/>
      <c r="K23" s="145" t="s">
        <v>16</v>
      </c>
      <c r="L23" s="146"/>
    </row>
    <row r="24" spans="1:22" ht="15.75" thickBot="1">
      <c r="A24" s="72"/>
      <c r="B24" s="150" t="s">
        <v>108</v>
      </c>
      <c r="C24" s="151"/>
      <c r="D24" s="151"/>
      <c r="E24" s="151"/>
      <c r="F24" s="151"/>
      <c r="G24" s="151"/>
      <c r="H24" s="151"/>
      <c r="I24" s="73"/>
      <c r="J24" s="73"/>
      <c r="K24" s="147">
        <v>105478.98</v>
      </c>
      <c r="L24" s="148"/>
      <c r="T24" s="92" t="s">
        <v>161</v>
      </c>
      <c r="U24" s="93">
        <v>691.4</v>
      </c>
      <c r="V24" s="93">
        <f>U24*100/U30</f>
        <v>4.2274792264092103</v>
      </c>
    </row>
    <row r="25" spans="1:22">
      <c r="A25" s="25">
        <v>1</v>
      </c>
      <c r="B25" s="112" t="s">
        <v>99</v>
      </c>
      <c r="C25" s="113"/>
      <c r="D25" s="113"/>
      <c r="E25" s="113"/>
      <c r="F25" s="113"/>
      <c r="G25" s="113"/>
      <c r="H25" s="115"/>
      <c r="I25" s="25" t="s">
        <v>106</v>
      </c>
      <c r="J25" s="25">
        <v>1</v>
      </c>
      <c r="K25" s="141">
        <v>1200</v>
      </c>
      <c r="L25" s="111"/>
      <c r="N25" t="s">
        <v>109</v>
      </c>
      <c r="T25" s="92" t="s">
        <v>162</v>
      </c>
      <c r="U25" s="93">
        <v>2294.9</v>
      </c>
      <c r="V25" s="93">
        <f>U25*100/U30</f>
        <v>14.031880353900053</v>
      </c>
    </row>
    <row r="26" spans="1:22">
      <c r="A26" s="25">
        <v>2</v>
      </c>
      <c r="B26" s="112" t="s">
        <v>100</v>
      </c>
      <c r="C26" s="113"/>
      <c r="D26" s="113"/>
      <c r="E26" s="113"/>
      <c r="F26" s="113"/>
      <c r="G26" s="113"/>
      <c r="H26" s="115"/>
      <c r="I26" s="42" t="s">
        <v>106</v>
      </c>
      <c r="J26" s="25">
        <v>1</v>
      </c>
      <c r="K26" s="141">
        <v>1284</v>
      </c>
      <c r="L26" s="111"/>
      <c r="N26" t="s">
        <v>110</v>
      </c>
      <c r="T26" s="92" t="s">
        <v>163</v>
      </c>
      <c r="U26" s="93">
        <v>2628.8</v>
      </c>
      <c r="V26" s="93">
        <f>U26*100/U30</f>
        <v>16.073470336107221</v>
      </c>
    </row>
    <row r="27" spans="1:22">
      <c r="A27" s="25">
        <v>3</v>
      </c>
      <c r="B27" s="112" t="s">
        <v>101</v>
      </c>
      <c r="C27" s="113"/>
      <c r="D27" s="113"/>
      <c r="E27" s="113"/>
      <c r="F27" s="113"/>
      <c r="G27" s="113"/>
      <c r="H27" s="115"/>
      <c r="I27" s="42" t="s">
        <v>120</v>
      </c>
      <c r="J27" s="74">
        <v>328</v>
      </c>
      <c r="K27" s="141">
        <f>43000/14842.2*2037.9</f>
        <v>5904.0910377167802</v>
      </c>
      <c r="L27" s="111"/>
      <c r="N27" t="s">
        <v>111</v>
      </c>
      <c r="T27" s="92" t="s">
        <v>164</v>
      </c>
      <c r="U27" s="93">
        <v>2554.5</v>
      </c>
      <c r="V27" s="93">
        <f>U27*100/U30</f>
        <v>15.61917223584369</v>
      </c>
    </row>
    <row r="28" spans="1:22">
      <c r="A28" s="25">
        <v>4</v>
      </c>
      <c r="B28" s="112" t="s">
        <v>102</v>
      </c>
      <c r="C28" s="113"/>
      <c r="D28" s="113"/>
      <c r="E28" s="113"/>
      <c r="F28" s="113"/>
      <c r="G28" s="113"/>
      <c r="H28" s="115"/>
      <c r="I28" s="74" t="s">
        <v>106</v>
      </c>
      <c r="J28" s="74">
        <v>1</v>
      </c>
      <c r="K28" s="141">
        <v>2000</v>
      </c>
      <c r="L28" s="111"/>
      <c r="N28" t="s">
        <v>112</v>
      </c>
      <c r="T28" s="92" t="s">
        <v>165</v>
      </c>
      <c r="U28" s="93">
        <v>2679.1</v>
      </c>
      <c r="V28" s="93">
        <f>U28*100/U30</f>
        <v>16.381023424172572</v>
      </c>
    </row>
    <row r="29" spans="1:22" s="43" customFormat="1">
      <c r="A29" s="25">
        <v>5</v>
      </c>
      <c r="B29" s="50" t="s">
        <v>131</v>
      </c>
      <c r="C29" s="49"/>
      <c r="D29" s="49"/>
      <c r="E29" s="49"/>
      <c r="F29" s="49"/>
      <c r="G29" s="49"/>
      <c r="H29" s="49"/>
      <c r="I29" s="42" t="s">
        <v>106</v>
      </c>
      <c r="J29" s="25">
        <v>1</v>
      </c>
      <c r="K29" s="154">
        <v>7454.5</v>
      </c>
      <c r="L29" s="155"/>
      <c r="N29" s="26" t="s">
        <v>132</v>
      </c>
      <c r="Q29" s="44" t="s">
        <v>133</v>
      </c>
      <c r="R29" s="44"/>
      <c r="S29" s="44"/>
      <c r="T29" s="92" t="s">
        <v>166</v>
      </c>
      <c r="U29" s="93">
        <v>5506.2</v>
      </c>
      <c r="V29" s="93">
        <f>U29*100/U30</f>
        <v>33.666974423567247</v>
      </c>
    </row>
    <row r="30" spans="1:22">
      <c r="A30" s="25">
        <v>6</v>
      </c>
      <c r="B30" s="112" t="s">
        <v>102</v>
      </c>
      <c r="C30" s="113"/>
      <c r="D30" s="113"/>
      <c r="E30" s="113"/>
      <c r="F30" s="113"/>
      <c r="G30" s="113"/>
      <c r="H30" s="115"/>
      <c r="I30" s="74" t="s">
        <v>106</v>
      </c>
      <c r="J30" s="74">
        <v>6</v>
      </c>
      <c r="K30" s="141">
        <v>12000</v>
      </c>
      <c r="L30" s="111"/>
      <c r="N30" t="s">
        <v>113</v>
      </c>
      <c r="T30" s="92"/>
      <c r="U30" s="93">
        <f>SUM(U24:U29)</f>
        <v>16354.900000000001</v>
      </c>
      <c r="V30" s="94">
        <f>SUM(V24:V29)</f>
        <v>100</v>
      </c>
    </row>
    <row r="31" spans="1:22">
      <c r="A31" s="25">
        <v>7</v>
      </c>
      <c r="B31" s="112" t="s">
        <v>103</v>
      </c>
      <c r="C31" s="113"/>
      <c r="D31" s="113"/>
      <c r="E31" s="113"/>
      <c r="F31" s="113"/>
      <c r="G31" s="113"/>
      <c r="H31" s="115"/>
      <c r="I31" s="25" t="s">
        <v>120</v>
      </c>
      <c r="J31" s="74">
        <v>301.5</v>
      </c>
      <c r="K31" s="141">
        <v>1200</v>
      </c>
      <c r="L31" s="111"/>
      <c r="N31" t="s">
        <v>114</v>
      </c>
    </row>
    <row r="32" spans="1:22">
      <c r="A32" s="25">
        <v>8</v>
      </c>
      <c r="B32" s="112" t="s">
        <v>138</v>
      </c>
      <c r="C32" s="113"/>
      <c r="D32" s="113"/>
      <c r="E32" s="113"/>
      <c r="F32" s="113"/>
      <c r="G32" s="113"/>
      <c r="H32" s="114"/>
      <c r="I32" s="25" t="s">
        <v>135</v>
      </c>
      <c r="J32" s="28">
        <v>2</v>
      </c>
      <c r="K32" s="110">
        <f>12000/14842.2*622.9</f>
        <v>503.6180620123701</v>
      </c>
      <c r="L32" s="111"/>
      <c r="N32" s="31" t="s">
        <v>115</v>
      </c>
    </row>
    <row r="33" spans="1:16">
      <c r="A33" s="25">
        <v>9</v>
      </c>
      <c r="B33" s="112" t="s">
        <v>143</v>
      </c>
      <c r="C33" s="113"/>
      <c r="D33" s="113"/>
      <c r="E33" s="113"/>
      <c r="F33" s="113"/>
      <c r="G33" s="113"/>
      <c r="H33" s="114"/>
      <c r="I33" s="25" t="s">
        <v>135</v>
      </c>
      <c r="J33" s="28">
        <v>4</v>
      </c>
      <c r="K33" s="110">
        <f>10000/5428.3*622.9</f>
        <v>1147.5047436582354</v>
      </c>
      <c r="L33" s="111"/>
      <c r="N33" s="52" t="s">
        <v>136</v>
      </c>
    </row>
    <row r="34" spans="1:16">
      <c r="A34" s="25">
        <v>10</v>
      </c>
      <c r="B34" s="112" t="s">
        <v>139</v>
      </c>
      <c r="C34" s="113"/>
      <c r="D34" s="113"/>
      <c r="E34" s="113"/>
      <c r="F34" s="113"/>
      <c r="G34" s="113"/>
      <c r="H34" s="114"/>
      <c r="I34" s="25" t="s">
        <v>135</v>
      </c>
      <c r="J34" s="25">
        <v>2</v>
      </c>
      <c r="K34" s="110">
        <f>20000/14842.2*622.9</f>
        <v>839.36343668728352</v>
      </c>
      <c r="L34" s="111"/>
      <c r="N34" s="52" t="s">
        <v>137</v>
      </c>
    </row>
    <row r="35" spans="1:16">
      <c r="A35" s="25">
        <v>11</v>
      </c>
      <c r="B35" s="112" t="s">
        <v>140</v>
      </c>
      <c r="C35" s="115"/>
      <c r="D35" s="115"/>
      <c r="E35" s="115"/>
      <c r="F35" s="115"/>
      <c r="G35" s="115"/>
      <c r="H35" s="115"/>
      <c r="I35" s="25" t="s">
        <v>128</v>
      </c>
      <c r="J35" s="25">
        <v>10</v>
      </c>
      <c r="K35" s="154">
        <f>6000*0.064</f>
        <v>384</v>
      </c>
      <c r="L35" s="155"/>
    </row>
    <row r="36" spans="1:16">
      <c r="A36" s="25">
        <v>12</v>
      </c>
      <c r="B36" s="112" t="s">
        <v>141</v>
      </c>
      <c r="C36" s="115"/>
      <c r="D36" s="115"/>
      <c r="E36" s="115"/>
      <c r="F36" s="115"/>
      <c r="G36" s="115"/>
      <c r="H36" s="115"/>
      <c r="I36" s="25" t="s">
        <v>128</v>
      </c>
      <c r="J36" s="25">
        <v>10</v>
      </c>
      <c r="K36" s="154">
        <f>6000*0.064</f>
        <v>384</v>
      </c>
      <c r="L36" s="155"/>
    </row>
    <row r="37" spans="1:16">
      <c r="A37" s="25">
        <v>13</v>
      </c>
      <c r="B37" s="112" t="s">
        <v>104</v>
      </c>
      <c r="C37" s="115"/>
      <c r="D37" s="115"/>
      <c r="E37" s="115"/>
      <c r="F37" s="115"/>
      <c r="G37" s="115"/>
      <c r="H37" s="115"/>
      <c r="I37" s="25"/>
      <c r="J37" s="25"/>
      <c r="K37" s="152">
        <v>6500</v>
      </c>
      <c r="L37" s="153"/>
      <c r="N37" s="29"/>
    </row>
    <row r="38" spans="1:16">
      <c r="A38" s="25">
        <v>14</v>
      </c>
      <c r="B38" s="112" t="s">
        <v>105</v>
      </c>
      <c r="C38" s="115"/>
      <c r="D38" s="115"/>
      <c r="E38" s="115"/>
      <c r="F38" s="115"/>
      <c r="G38" s="115"/>
      <c r="H38" s="115"/>
      <c r="I38" s="42" t="s">
        <v>107</v>
      </c>
      <c r="J38" s="25">
        <v>28</v>
      </c>
      <c r="K38" s="141">
        <f>10480+14000</f>
        <v>24480</v>
      </c>
      <c r="L38" s="111"/>
      <c r="N38" s="26" t="s">
        <v>116</v>
      </c>
    </row>
    <row r="39" spans="1:16">
      <c r="A39" s="25">
        <v>15</v>
      </c>
      <c r="B39" s="112" t="s">
        <v>117</v>
      </c>
      <c r="C39" s="115"/>
      <c r="D39" s="115"/>
      <c r="E39" s="115"/>
      <c r="F39" s="115"/>
      <c r="G39" s="115"/>
      <c r="H39" s="115"/>
      <c r="I39" s="25" t="s">
        <v>106</v>
      </c>
      <c r="J39" s="25">
        <v>4</v>
      </c>
      <c r="K39" s="141">
        <f>140*4</f>
        <v>560</v>
      </c>
      <c r="L39" s="111"/>
      <c r="N39" s="26" t="s">
        <v>118</v>
      </c>
    </row>
    <row r="40" spans="1:16">
      <c r="A40" s="25">
        <v>16</v>
      </c>
      <c r="B40" s="115" t="s">
        <v>142</v>
      </c>
      <c r="C40" s="115"/>
      <c r="D40" s="115"/>
      <c r="E40" s="115"/>
      <c r="F40" s="115"/>
      <c r="G40" s="115"/>
      <c r="H40" s="115"/>
      <c r="I40" s="25" t="s">
        <v>106</v>
      </c>
      <c r="J40" s="25">
        <v>9</v>
      </c>
      <c r="K40" s="162">
        <f>4730*0.1533</f>
        <v>725.10899999999992</v>
      </c>
      <c r="L40" s="163"/>
      <c r="M40" s="43"/>
      <c r="N40" s="47" t="s">
        <v>134</v>
      </c>
      <c r="O40" s="48"/>
      <c r="P40" s="48"/>
    </row>
    <row r="41" spans="1:16">
      <c r="A41" s="25">
        <v>17</v>
      </c>
      <c r="B41" s="112" t="s">
        <v>119</v>
      </c>
      <c r="C41" s="115"/>
      <c r="D41" s="115"/>
      <c r="E41" s="115"/>
      <c r="F41" s="115"/>
      <c r="G41" s="115"/>
      <c r="H41" s="115"/>
      <c r="I41" s="25" t="s">
        <v>120</v>
      </c>
      <c r="J41" s="74">
        <v>301.5</v>
      </c>
      <c r="K41" s="141">
        <f>345.6+2387</f>
        <v>2732.6</v>
      </c>
      <c r="L41" s="111"/>
      <c r="N41" s="26" t="s">
        <v>118</v>
      </c>
    </row>
    <row r="42" spans="1:16">
      <c r="A42" s="25">
        <v>18</v>
      </c>
      <c r="B42" s="112" t="s">
        <v>121</v>
      </c>
      <c r="C42" s="115"/>
      <c r="D42" s="115"/>
      <c r="E42" s="115"/>
      <c r="F42" s="115"/>
      <c r="G42" s="115"/>
      <c r="H42" s="115"/>
      <c r="I42" s="25" t="s">
        <v>106</v>
      </c>
      <c r="J42" s="25">
        <v>1</v>
      </c>
      <c r="K42" s="141">
        <f>2000+3140</f>
        <v>5140</v>
      </c>
      <c r="L42" s="111"/>
      <c r="N42" s="26" t="s">
        <v>122</v>
      </c>
    </row>
    <row r="43" spans="1:16">
      <c r="A43" s="25">
        <v>19</v>
      </c>
      <c r="B43" s="112" t="s">
        <v>124</v>
      </c>
      <c r="C43" s="115"/>
      <c r="D43" s="115"/>
      <c r="E43" s="115"/>
      <c r="F43" s="115"/>
      <c r="G43" s="115"/>
      <c r="H43" s="115"/>
      <c r="I43" s="25" t="s">
        <v>106</v>
      </c>
      <c r="J43" s="25">
        <v>1</v>
      </c>
      <c r="K43" s="141">
        <v>180</v>
      </c>
      <c r="L43" s="111"/>
      <c r="N43" s="26" t="s">
        <v>123</v>
      </c>
    </row>
    <row r="44" spans="1:16">
      <c r="A44" s="25">
        <v>20</v>
      </c>
      <c r="B44" s="164" t="s">
        <v>125</v>
      </c>
      <c r="C44" s="165"/>
      <c r="D44" s="165"/>
      <c r="E44" s="165"/>
      <c r="F44" s="165"/>
      <c r="G44" s="165"/>
      <c r="H44" s="165"/>
      <c r="I44" s="25" t="s">
        <v>106</v>
      </c>
      <c r="J44" s="25">
        <v>25</v>
      </c>
      <c r="K44" s="154">
        <f>6432/32</f>
        <v>201</v>
      </c>
      <c r="L44" s="155"/>
      <c r="N44" t="s">
        <v>126</v>
      </c>
    </row>
    <row r="45" spans="1:16">
      <c r="A45" s="25">
        <v>21</v>
      </c>
      <c r="B45" s="112" t="s">
        <v>127</v>
      </c>
      <c r="C45" s="115"/>
      <c r="D45" s="115"/>
      <c r="E45" s="115"/>
      <c r="F45" s="115"/>
      <c r="G45" s="115"/>
      <c r="H45" s="115"/>
      <c r="I45" s="25" t="s">
        <v>106</v>
      </c>
      <c r="J45" s="25">
        <v>1</v>
      </c>
      <c r="K45" s="141">
        <f>6451/6</f>
        <v>1075.1666666666667</v>
      </c>
      <c r="L45" s="111"/>
    </row>
    <row r="46" spans="1:16">
      <c r="A46" s="25"/>
      <c r="B46" s="112" t="s">
        <v>154</v>
      </c>
      <c r="C46" s="115"/>
      <c r="D46" s="115"/>
      <c r="E46" s="115"/>
      <c r="F46" s="115"/>
      <c r="G46" s="115"/>
      <c r="H46" s="115"/>
      <c r="I46" s="25"/>
      <c r="J46" s="75"/>
      <c r="K46" s="159">
        <f>SUM(K25:L45)</f>
        <v>75894.952946741352</v>
      </c>
      <c r="L46" s="160"/>
    </row>
    <row r="47" spans="1:16">
      <c r="A47" s="25"/>
      <c r="B47" s="112" t="s">
        <v>144</v>
      </c>
      <c r="C47" s="115"/>
      <c r="D47" s="115"/>
      <c r="E47" s="115"/>
      <c r="F47" s="115"/>
      <c r="G47" s="115"/>
      <c r="H47" s="115"/>
      <c r="I47" s="25"/>
      <c r="J47" s="75"/>
      <c r="K47" s="110">
        <f>K46*0.14</f>
        <v>10625.29341254379</v>
      </c>
      <c r="L47" s="111"/>
    </row>
    <row r="48" spans="1:16" ht="15" customHeight="1" thickBot="1">
      <c r="A48" s="25"/>
      <c r="B48" s="43" t="s">
        <v>155</v>
      </c>
      <c r="I48" s="76"/>
      <c r="K48" s="157">
        <f>SUM(K46:L47)</f>
        <v>86520.246359285142</v>
      </c>
      <c r="L48" s="158"/>
    </row>
    <row r="49" spans="1:12" ht="18.75" customHeight="1" thickBot="1">
      <c r="A49" s="72"/>
      <c r="B49" s="77" t="s">
        <v>156</v>
      </c>
      <c r="C49" s="78"/>
      <c r="D49" s="78"/>
      <c r="E49" s="78"/>
      <c r="F49" s="78"/>
      <c r="G49" s="78"/>
      <c r="H49" s="79"/>
      <c r="I49" s="72"/>
      <c r="J49" s="72"/>
      <c r="K49" s="119">
        <f>K48+K24</f>
        <v>191999.22635928512</v>
      </c>
      <c r="L49" s="120"/>
    </row>
    <row r="50" spans="1:12" ht="24" customHeight="1">
      <c r="A50" s="43" t="s">
        <v>21</v>
      </c>
    </row>
    <row r="51" spans="1:12">
      <c r="A51" s="43" t="s">
        <v>23</v>
      </c>
      <c r="D51" s="28">
        <f>I4</f>
        <v>2013</v>
      </c>
      <c r="E51" s="43" t="s">
        <v>24</v>
      </c>
      <c r="G51" s="80">
        <f>K49-G20</f>
        <v>65267.272961226859</v>
      </c>
      <c r="H51" s="43" t="s">
        <v>25</v>
      </c>
    </row>
    <row r="52" spans="1:12" ht="24" customHeight="1" thickBot="1">
      <c r="A52" s="43" t="s">
        <v>26</v>
      </c>
      <c r="B52" s="28">
        <f>I4</f>
        <v>2013</v>
      </c>
      <c r="C52" s="43" t="s">
        <v>29</v>
      </c>
    </row>
    <row r="53" spans="1:12" ht="15.75" customHeight="1">
      <c r="A53" s="81" t="s">
        <v>2</v>
      </c>
      <c r="B53" s="127" t="s">
        <v>39</v>
      </c>
      <c r="C53" s="128"/>
      <c r="D53" s="128"/>
      <c r="E53" s="128"/>
      <c r="F53" s="127" t="s">
        <v>40</v>
      </c>
      <c r="G53" s="128"/>
      <c r="H53" s="129"/>
      <c r="I53" s="127" t="s">
        <v>41</v>
      </c>
      <c r="J53" s="128"/>
      <c r="K53" s="128"/>
      <c r="L53" s="129"/>
    </row>
    <row r="54" spans="1:12" ht="15.75" customHeight="1" thickBot="1">
      <c r="A54" s="82"/>
      <c r="B54" s="130"/>
      <c r="C54" s="131"/>
      <c r="D54" s="131"/>
      <c r="E54" s="131"/>
      <c r="F54" s="130"/>
      <c r="G54" s="131"/>
      <c r="H54" s="132"/>
      <c r="I54" s="130" t="s">
        <v>42</v>
      </c>
      <c r="J54" s="131"/>
      <c r="K54" s="131"/>
      <c r="L54" s="132"/>
    </row>
    <row r="55" spans="1:12">
      <c r="A55" s="83" t="s">
        <v>32</v>
      </c>
      <c r="B55" s="133" t="s">
        <v>43</v>
      </c>
      <c r="C55" s="134"/>
      <c r="D55" s="134"/>
      <c r="E55" s="135"/>
      <c r="F55" s="136" t="s">
        <v>158</v>
      </c>
      <c r="G55" s="137"/>
      <c r="H55" s="138"/>
      <c r="I55" s="136" t="s">
        <v>49</v>
      </c>
      <c r="J55" s="137"/>
      <c r="K55" s="137"/>
      <c r="L55" s="138"/>
    </row>
    <row r="56" spans="1:12">
      <c r="A56" s="25" t="s">
        <v>33</v>
      </c>
      <c r="B56" s="112" t="s">
        <v>44</v>
      </c>
      <c r="C56" s="115"/>
      <c r="D56" s="115"/>
      <c r="E56" s="114"/>
      <c r="F56" s="124" t="s">
        <v>157</v>
      </c>
      <c r="G56" s="125"/>
      <c r="H56" s="126"/>
      <c r="I56" s="124" t="s">
        <v>50</v>
      </c>
      <c r="J56" s="125"/>
      <c r="K56" s="125"/>
      <c r="L56" s="126"/>
    </row>
    <row r="57" spans="1:12">
      <c r="A57" s="25" t="s">
        <v>35</v>
      </c>
      <c r="B57" s="112" t="s">
        <v>45</v>
      </c>
      <c r="C57" s="115"/>
      <c r="D57" s="115"/>
      <c r="E57" s="114"/>
      <c r="F57" s="124" t="s">
        <v>76</v>
      </c>
      <c r="G57" s="125"/>
      <c r="H57" s="126"/>
      <c r="I57" s="124" t="s">
        <v>77</v>
      </c>
      <c r="J57" s="125"/>
      <c r="K57" s="125"/>
      <c r="L57" s="126"/>
    </row>
    <row r="58" spans="1:12">
      <c r="A58" s="25" t="s">
        <v>36</v>
      </c>
      <c r="B58" s="112" t="s">
        <v>46</v>
      </c>
      <c r="C58" s="115"/>
      <c r="D58" s="115"/>
      <c r="E58" s="114"/>
      <c r="F58" s="124" t="s">
        <v>78</v>
      </c>
      <c r="G58" s="125"/>
      <c r="H58" s="126"/>
      <c r="I58" s="124" t="s">
        <v>79</v>
      </c>
      <c r="J58" s="125"/>
      <c r="K58" s="125"/>
      <c r="L58" s="126"/>
    </row>
    <row r="59" spans="1:12">
      <c r="A59" s="25" t="s">
        <v>37</v>
      </c>
      <c r="B59" s="112" t="s">
        <v>47</v>
      </c>
      <c r="C59" s="115"/>
      <c r="D59" s="115"/>
      <c r="E59" s="114"/>
      <c r="F59" s="124" t="s">
        <v>80</v>
      </c>
      <c r="G59" s="125"/>
      <c r="H59" s="126"/>
      <c r="I59" s="124" t="s">
        <v>81</v>
      </c>
      <c r="J59" s="125"/>
      <c r="K59" s="125"/>
      <c r="L59" s="126"/>
    </row>
    <row r="60" spans="1:12" ht="15.75" thickBot="1">
      <c r="A60" s="84" t="s">
        <v>38</v>
      </c>
      <c r="B60" s="116" t="s">
        <v>48</v>
      </c>
      <c r="C60" s="117"/>
      <c r="D60" s="117"/>
      <c r="E60" s="118"/>
      <c r="F60" s="121" t="s">
        <v>82</v>
      </c>
      <c r="G60" s="122"/>
      <c r="H60" s="123"/>
      <c r="I60" s="121" t="s">
        <v>83</v>
      </c>
      <c r="J60" s="122"/>
      <c r="K60" s="122"/>
      <c r="L60" s="123"/>
    </row>
    <row r="62" spans="1:12">
      <c r="A62" s="21" t="s">
        <v>53</v>
      </c>
      <c r="B62" s="28">
        <f>I4+1</f>
        <v>2014</v>
      </c>
      <c r="C62" s="43" t="s">
        <v>54</v>
      </c>
    </row>
    <row r="63" spans="1:12">
      <c r="A63" s="49" t="s">
        <v>95</v>
      </c>
    </row>
    <row r="64" spans="1:12">
      <c r="A64" s="57" t="s">
        <v>96</v>
      </c>
    </row>
    <row r="65" spans="1:12">
      <c r="A65" s="49" t="s">
        <v>51</v>
      </c>
      <c r="F65" s="60">
        <f>H83</f>
        <v>4.5160745189052118</v>
      </c>
      <c r="G65" s="43" t="s">
        <v>52</v>
      </c>
    </row>
    <row r="66" spans="1:12">
      <c r="A66" s="49" t="s">
        <v>86</v>
      </c>
      <c r="C66" s="85"/>
      <c r="G66" s="28"/>
    </row>
    <row r="67" spans="1:12">
      <c r="A67" s="49" t="s">
        <v>90</v>
      </c>
      <c r="E67" s="28"/>
      <c r="K67" s="28"/>
    </row>
    <row r="68" spans="1:12">
      <c r="A68" s="51" t="s">
        <v>87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7"/>
    </row>
    <row r="69" spans="1:12">
      <c r="A69" s="156" t="s">
        <v>88</v>
      </c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</row>
    <row r="70" spans="1:12">
      <c r="A70" s="156" t="s">
        <v>89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</row>
    <row r="71" spans="1:12">
      <c r="A71" s="51"/>
      <c r="B71" s="86"/>
      <c r="C71" s="86"/>
      <c r="D71" s="86"/>
      <c r="E71" s="86"/>
      <c r="F71" s="86"/>
      <c r="G71" s="86"/>
      <c r="H71" s="86"/>
      <c r="I71" s="86"/>
      <c r="J71" s="86"/>
      <c r="K71" s="86"/>
    </row>
    <row r="72" spans="1:12">
      <c r="A72" s="49" t="s">
        <v>55</v>
      </c>
      <c r="B72" s="28">
        <f>I4+1</f>
        <v>2014</v>
      </c>
      <c r="C72" s="43" t="s">
        <v>56</v>
      </c>
    </row>
    <row r="73" spans="1:12">
      <c r="A73" s="49" t="s">
        <v>57</v>
      </c>
    </row>
    <row r="74" spans="1:12">
      <c r="A74" s="49" t="s">
        <v>58</v>
      </c>
      <c r="J74" s="45">
        <v>15000</v>
      </c>
      <c r="K74" s="43" t="s">
        <v>10</v>
      </c>
    </row>
    <row r="75" spans="1:12">
      <c r="A75" s="156" t="s">
        <v>85</v>
      </c>
      <c r="B75" s="156"/>
      <c r="C75" s="156"/>
      <c r="D75" s="156"/>
      <c r="E75" s="156"/>
      <c r="J75" s="45">
        <v>10000</v>
      </c>
      <c r="K75" s="43" t="s">
        <v>10</v>
      </c>
    </row>
    <row r="76" spans="1:12">
      <c r="A76" s="49" t="s">
        <v>59</v>
      </c>
      <c r="J76" s="45">
        <v>1500</v>
      </c>
      <c r="K76" s="43" t="s">
        <v>10</v>
      </c>
    </row>
    <row r="77" spans="1:12">
      <c r="A77" s="49" t="s">
        <v>84</v>
      </c>
      <c r="J77" s="45">
        <v>15000</v>
      </c>
      <c r="K77" s="43" t="s">
        <v>10</v>
      </c>
    </row>
    <row r="78" spans="1:12">
      <c r="A78" s="49" t="s">
        <v>60</v>
      </c>
      <c r="J78" s="45">
        <v>8000</v>
      </c>
      <c r="K78" s="43" t="s">
        <v>10</v>
      </c>
    </row>
    <row r="79" spans="1:12">
      <c r="A79" s="49" t="s">
        <v>61</v>
      </c>
      <c r="J79" s="45">
        <v>8000</v>
      </c>
      <c r="K79" s="43" t="s">
        <v>10</v>
      </c>
    </row>
    <row r="80" spans="1:12">
      <c r="A80" s="49" t="s">
        <v>159</v>
      </c>
      <c r="B80"/>
      <c r="C80"/>
      <c r="D80"/>
      <c r="E80"/>
      <c r="F80"/>
      <c r="G80"/>
      <c r="H80"/>
      <c r="I80"/>
      <c r="J80" s="89">
        <v>1600</v>
      </c>
      <c r="K80" t="s">
        <v>10</v>
      </c>
      <c r="L80"/>
    </row>
    <row r="81" spans="1:12">
      <c r="A81" s="22" t="s">
        <v>62</v>
      </c>
      <c r="J81" s="46">
        <f>SUM(J74:J80)</f>
        <v>59100</v>
      </c>
      <c r="K81" s="87" t="s">
        <v>63</v>
      </c>
    </row>
    <row r="82" spans="1:12">
      <c r="A82" s="49" t="s">
        <v>64</v>
      </c>
      <c r="H82" s="28">
        <f>I4</f>
        <v>2013</v>
      </c>
      <c r="I82" s="43" t="s">
        <v>72</v>
      </c>
      <c r="K82" s="46">
        <f>G51</f>
        <v>65267.272961226859</v>
      </c>
    </row>
    <row r="83" spans="1:12">
      <c r="A83" s="49" t="s">
        <v>65</v>
      </c>
      <c r="C83" s="80">
        <f>J81+K82</f>
        <v>124367.27296122686</v>
      </c>
      <c r="D83" s="28" t="s">
        <v>66</v>
      </c>
      <c r="E83" s="88">
        <f>I4+1</f>
        <v>2014</v>
      </c>
      <c r="F83" s="43" t="s">
        <v>68</v>
      </c>
      <c r="H83" s="60">
        <f>C83/(N6*12)</f>
        <v>4.5160745189052118</v>
      </c>
      <c r="I83" s="43" t="s">
        <v>69</v>
      </c>
    </row>
    <row r="85" spans="1:12">
      <c r="B85" s="43" t="s">
        <v>70</v>
      </c>
    </row>
    <row r="86" spans="1:12">
      <c r="B86" s="43" t="s">
        <v>40</v>
      </c>
      <c r="I86" s="43" t="s">
        <v>71</v>
      </c>
    </row>
    <row r="87" spans="1:12">
      <c r="K87" s="161" t="s">
        <v>160</v>
      </c>
      <c r="L87" s="161"/>
    </row>
  </sheetData>
  <mergeCells count="86">
    <mergeCell ref="K87:L87"/>
    <mergeCell ref="K1:L1"/>
    <mergeCell ref="B40:H40"/>
    <mergeCell ref="K40:L40"/>
    <mergeCell ref="K30:L30"/>
    <mergeCell ref="K31:L31"/>
    <mergeCell ref="K35:L35"/>
    <mergeCell ref="K36:L36"/>
    <mergeCell ref="B44:H44"/>
    <mergeCell ref="B45:H45"/>
    <mergeCell ref="B42:H42"/>
    <mergeCell ref="B37:H37"/>
    <mergeCell ref="B43:H43"/>
    <mergeCell ref="A75:E75"/>
    <mergeCell ref="A69:L69"/>
    <mergeCell ref="B47:H47"/>
    <mergeCell ref="K47:L47"/>
    <mergeCell ref="A70:L70"/>
    <mergeCell ref="B30:H30"/>
    <mergeCell ref="K41:L41"/>
    <mergeCell ref="K48:L48"/>
    <mergeCell ref="B46:H46"/>
    <mergeCell ref="K46:L46"/>
    <mergeCell ref="B41:H41"/>
    <mergeCell ref="K42:L42"/>
    <mergeCell ref="K43:L43"/>
    <mergeCell ref="K44:L44"/>
    <mergeCell ref="K45:L45"/>
    <mergeCell ref="K39:L39"/>
    <mergeCell ref="B39:H39"/>
    <mergeCell ref="I59:L59"/>
    <mergeCell ref="B54:E54"/>
    <mergeCell ref="B26:H26"/>
    <mergeCell ref="K37:L37"/>
    <mergeCell ref="K38:L38"/>
    <mergeCell ref="B31:H31"/>
    <mergeCell ref="K26:L26"/>
    <mergeCell ref="B28:H28"/>
    <mergeCell ref="B27:H27"/>
    <mergeCell ref="K27:L27"/>
    <mergeCell ref="K28:L28"/>
    <mergeCell ref="B35:H35"/>
    <mergeCell ref="B36:H36"/>
    <mergeCell ref="B38:H38"/>
    <mergeCell ref="K29:L29"/>
    <mergeCell ref="B32:H32"/>
    <mergeCell ref="K32:L32"/>
    <mergeCell ref="B33:H33"/>
    <mergeCell ref="A2:L2"/>
    <mergeCell ref="A3:L3"/>
    <mergeCell ref="A7:B7"/>
    <mergeCell ref="K25:L25"/>
    <mergeCell ref="A21:B21"/>
    <mergeCell ref="K22:L22"/>
    <mergeCell ref="K23:L23"/>
    <mergeCell ref="K24:L24"/>
    <mergeCell ref="B22:H22"/>
    <mergeCell ref="B23:H23"/>
    <mergeCell ref="B24:H24"/>
    <mergeCell ref="B25:H25"/>
    <mergeCell ref="B57:E57"/>
    <mergeCell ref="B58:E58"/>
    <mergeCell ref="F54:H54"/>
    <mergeCell ref="I54:L54"/>
    <mergeCell ref="B55:E55"/>
    <mergeCell ref="B56:E56"/>
    <mergeCell ref="F55:H55"/>
    <mergeCell ref="F56:H56"/>
    <mergeCell ref="I55:L55"/>
    <mergeCell ref="I56:L56"/>
    <mergeCell ref="K33:L33"/>
    <mergeCell ref="B34:H34"/>
    <mergeCell ref="K34:L34"/>
    <mergeCell ref="B59:E59"/>
    <mergeCell ref="B60:E60"/>
    <mergeCell ref="K49:L49"/>
    <mergeCell ref="I60:L60"/>
    <mergeCell ref="F57:H57"/>
    <mergeCell ref="F58:H58"/>
    <mergeCell ref="F59:H59"/>
    <mergeCell ref="F60:H60"/>
    <mergeCell ref="I57:L57"/>
    <mergeCell ref="I58:L58"/>
    <mergeCell ref="B53:E53"/>
    <mergeCell ref="F53:H53"/>
    <mergeCell ref="I53:L53"/>
  </mergeCells>
  <pageMargins left="0.17" right="0.11811023622047245" top="0.2" bottom="0.21" header="0.17" footer="0.16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7"/>
  <sheetViews>
    <sheetView tabSelected="1" workbookViewId="0">
      <selection activeCell="N9" sqref="N9"/>
    </sheetView>
  </sheetViews>
  <sheetFormatPr defaultRowHeight="15"/>
  <cols>
    <col min="1" max="1" width="5.42578125" customWidth="1"/>
    <col min="2" max="2" width="9.140625" style="43"/>
    <col min="3" max="3" width="10.85546875" style="43" customWidth="1"/>
    <col min="4" max="4" width="6.42578125" style="43" customWidth="1"/>
    <col min="5" max="5" width="7.7109375" style="43" customWidth="1"/>
    <col min="6" max="6" width="9.140625" style="43"/>
    <col min="7" max="7" width="12.7109375" style="43" customWidth="1"/>
    <col min="8" max="8" width="10.42578125" style="43" customWidth="1"/>
    <col min="10" max="10" width="11.28515625" customWidth="1"/>
    <col min="11" max="11" width="9.85546875" customWidth="1"/>
    <col min="12" max="12" width="1.42578125" customWidth="1"/>
  </cols>
  <sheetData>
    <row r="1" spans="1:12">
      <c r="A1" s="43"/>
      <c r="I1" s="43"/>
      <c r="J1" s="43"/>
      <c r="K1" s="161" t="s">
        <v>160</v>
      </c>
      <c r="L1" s="161"/>
    </row>
    <row r="2" spans="1:12" ht="18.7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ht="18.75">
      <c r="A3" s="167" t="s">
        <v>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2" ht="18.75">
      <c r="A4" s="1"/>
      <c r="B4" s="108"/>
      <c r="C4" s="108" t="s">
        <v>2</v>
      </c>
      <c r="D4" s="108" t="s">
        <v>97</v>
      </c>
      <c r="E4" s="55" t="s">
        <v>94</v>
      </c>
      <c r="F4" s="55"/>
      <c r="G4" s="55"/>
      <c r="H4" s="108"/>
      <c r="I4" s="36">
        <v>2014</v>
      </c>
      <c r="J4" s="16" t="s">
        <v>22</v>
      </c>
    </row>
    <row r="6" spans="1:12" ht="15.75">
      <c r="A6" s="3" t="s">
        <v>27</v>
      </c>
      <c r="B6" s="28">
        <f>I4</f>
        <v>2014</v>
      </c>
      <c r="C6" s="43" t="s">
        <v>28</v>
      </c>
      <c r="D6" s="106" t="s">
        <v>98</v>
      </c>
      <c r="E6" s="46">
        <v>2219.1</v>
      </c>
      <c r="F6" s="43" t="s">
        <v>67</v>
      </c>
    </row>
    <row r="7" spans="1:12" ht="15.75">
      <c r="A7" s="168">
        <v>1400369.4</v>
      </c>
      <c r="B7" s="168"/>
      <c r="C7" s="58" t="s">
        <v>3</v>
      </c>
      <c r="G7" s="59">
        <f>A7-J8</f>
        <v>1265496.96</v>
      </c>
      <c r="H7" s="28" t="s">
        <v>201</v>
      </c>
      <c r="I7" s="6">
        <f>(G7/A7)*100</f>
        <v>90.368795547803316</v>
      </c>
      <c r="J7" t="s">
        <v>4</v>
      </c>
    </row>
    <row r="8" spans="1:12" ht="15.75">
      <c r="A8" t="s">
        <v>92</v>
      </c>
      <c r="J8" s="7">
        <v>134872.44</v>
      </c>
      <c r="K8" t="s">
        <v>5</v>
      </c>
    </row>
    <row r="9" spans="1:12">
      <c r="A9" t="s">
        <v>91</v>
      </c>
    </row>
    <row r="10" spans="1:12">
      <c r="A10" t="s">
        <v>184</v>
      </c>
      <c r="B10" s="45">
        <v>11679.33</v>
      </c>
      <c r="C10" s="43" t="s">
        <v>10</v>
      </c>
      <c r="E10" s="43" t="s">
        <v>185</v>
      </c>
      <c r="F10" s="45">
        <v>29453.06</v>
      </c>
      <c r="G10" s="43" t="s">
        <v>10</v>
      </c>
      <c r="I10" s="24" t="s">
        <v>152</v>
      </c>
      <c r="J10" s="17">
        <v>13829.14</v>
      </c>
      <c r="K10" t="s">
        <v>10</v>
      </c>
    </row>
    <row r="11" spans="1:12">
      <c r="A11" t="s">
        <v>74</v>
      </c>
      <c r="B11" s="45">
        <v>34548.58</v>
      </c>
      <c r="C11" s="43" t="s">
        <v>10</v>
      </c>
      <c r="E11" s="61" t="s">
        <v>75</v>
      </c>
      <c r="F11" s="45">
        <v>10194.34</v>
      </c>
      <c r="G11" s="43" t="s">
        <v>10</v>
      </c>
      <c r="I11" s="24"/>
      <c r="J11" s="17"/>
    </row>
    <row r="12" spans="1:12">
      <c r="B12" s="45"/>
      <c r="E12" s="106"/>
      <c r="F12" s="45"/>
      <c r="I12" s="33"/>
      <c r="J12" s="17"/>
    </row>
    <row r="13" spans="1:12" ht="15.75">
      <c r="A13" t="s">
        <v>30</v>
      </c>
      <c r="J13" s="17">
        <f>G14+G15+G16+G17</f>
        <v>134872.44</v>
      </c>
      <c r="K13" s="18" t="s">
        <v>31</v>
      </c>
    </row>
    <row r="14" spans="1:12">
      <c r="A14" s="8" t="s">
        <v>6</v>
      </c>
      <c r="B14" s="43" t="s">
        <v>7</v>
      </c>
      <c r="G14" s="46">
        <f>(J8*43.5/100)</f>
        <v>58669.511399999996</v>
      </c>
      <c r="H14" s="43" t="s">
        <v>10</v>
      </c>
    </row>
    <row r="15" spans="1:12">
      <c r="A15" s="8" t="s">
        <v>6</v>
      </c>
      <c r="B15" s="43" t="s">
        <v>8</v>
      </c>
      <c r="G15" s="46">
        <f>(J8*36.6/100)</f>
        <v>49363.313040000008</v>
      </c>
      <c r="H15" s="43" t="s">
        <v>10</v>
      </c>
    </row>
    <row r="16" spans="1:12">
      <c r="A16" s="8" t="s">
        <v>6</v>
      </c>
      <c r="B16" s="43" t="s">
        <v>9</v>
      </c>
      <c r="G16" s="46">
        <f>(J8*12.5/100)</f>
        <v>16859.055</v>
      </c>
      <c r="H16" s="43" t="s">
        <v>10</v>
      </c>
      <c r="K16" s="4"/>
      <c r="L16" s="12"/>
    </row>
    <row r="17" spans="1:12">
      <c r="A17" s="8" t="s">
        <v>6</v>
      </c>
      <c r="B17" s="43" t="s">
        <v>14</v>
      </c>
      <c r="G17" s="46">
        <f>(J8*7.4/100)</f>
        <v>9980.5605600000017</v>
      </c>
      <c r="H17" s="43" t="s">
        <v>10</v>
      </c>
    </row>
    <row r="18" spans="1:12">
      <c r="G18" s="65"/>
    </row>
    <row r="19" spans="1:12">
      <c r="A19" s="9" t="s">
        <v>11</v>
      </c>
      <c r="G19" s="46">
        <f>E6*4.74*12</f>
        <v>126222.408</v>
      </c>
      <c r="H19" s="43" t="s">
        <v>12</v>
      </c>
    </row>
    <row r="20" spans="1:12" ht="15.75" thickBot="1">
      <c r="A20" s="169">
        <f>G19*I7/100</f>
        <v>114065.66982103413</v>
      </c>
      <c r="B20" s="169"/>
      <c r="C20" s="43" t="s">
        <v>73</v>
      </c>
    </row>
    <row r="21" spans="1:12">
      <c r="A21" s="10" t="s">
        <v>2</v>
      </c>
      <c r="B21" s="143" t="s">
        <v>20</v>
      </c>
      <c r="C21" s="149"/>
      <c r="D21" s="149"/>
      <c r="E21" s="149"/>
      <c r="F21" s="149"/>
      <c r="G21" s="149"/>
      <c r="H21" s="144"/>
      <c r="I21" s="10" t="s">
        <v>18</v>
      </c>
      <c r="J21" s="13" t="s">
        <v>17</v>
      </c>
      <c r="K21" s="170" t="s">
        <v>15</v>
      </c>
      <c r="L21" s="171"/>
    </row>
    <row r="22" spans="1:12" ht="15.75" thickBot="1">
      <c r="A22" s="11" t="s">
        <v>13</v>
      </c>
      <c r="B22" s="121"/>
      <c r="C22" s="122"/>
      <c r="D22" s="122"/>
      <c r="E22" s="122"/>
      <c r="F22" s="122"/>
      <c r="G22" s="122"/>
      <c r="H22" s="123"/>
      <c r="I22" s="11" t="s">
        <v>19</v>
      </c>
      <c r="J22" s="14"/>
      <c r="K22" s="172" t="s">
        <v>16</v>
      </c>
      <c r="L22" s="173"/>
    </row>
    <row r="23" spans="1:12" ht="15.75" thickBot="1">
      <c r="A23" s="96"/>
      <c r="B23" s="150" t="s">
        <v>169</v>
      </c>
      <c r="C23" s="151"/>
      <c r="D23" s="151"/>
      <c r="E23" s="151"/>
      <c r="F23" s="151"/>
      <c r="G23" s="151"/>
      <c r="H23" s="174"/>
      <c r="I23" s="97"/>
      <c r="J23" s="98"/>
      <c r="K23" s="175">
        <v>65267.27</v>
      </c>
      <c r="L23" s="176"/>
    </row>
    <row r="24" spans="1:12">
      <c r="A24" s="15">
        <v>1</v>
      </c>
      <c r="B24" s="112" t="s">
        <v>130</v>
      </c>
      <c r="C24" s="115"/>
      <c r="D24" s="115"/>
      <c r="E24" s="115"/>
      <c r="F24" s="115"/>
      <c r="G24" s="115"/>
      <c r="H24" s="114"/>
      <c r="I24" s="15" t="s">
        <v>106</v>
      </c>
      <c r="J24" s="15">
        <v>4</v>
      </c>
      <c r="K24" s="177">
        <f>12000*0.141</f>
        <v>1691.9999999999998</v>
      </c>
      <c r="L24" s="178"/>
    </row>
    <row r="25" spans="1:12">
      <c r="A25" s="15">
        <f>1+A24</f>
        <v>2</v>
      </c>
      <c r="B25" s="112" t="s">
        <v>129</v>
      </c>
      <c r="C25" s="115"/>
      <c r="D25" s="115"/>
      <c r="E25" s="115"/>
      <c r="F25" s="115"/>
      <c r="G25" s="115"/>
      <c r="H25" s="114"/>
      <c r="I25" s="15" t="s">
        <v>106</v>
      </c>
      <c r="J25" s="15">
        <v>2</v>
      </c>
      <c r="K25" s="179">
        <f>12000*0.211</f>
        <v>2532</v>
      </c>
      <c r="L25" s="180"/>
    </row>
    <row r="26" spans="1:12">
      <c r="A26" s="15">
        <f t="shared" ref="A26:A43" si="0">1+A25</f>
        <v>3</v>
      </c>
      <c r="B26" s="181" t="s">
        <v>183</v>
      </c>
      <c r="C26" s="182"/>
      <c r="D26" s="182"/>
      <c r="E26" s="182"/>
      <c r="F26" s="182"/>
      <c r="G26" s="182"/>
      <c r="H26" s="166"/>
      <c r="I26" s="41" t="s">
        <v>106</v>
      </c>
      <c r="J26" s="15">
        <v>1</v>
      </c>
      <c r="K26" s="183">
        <f>37671*0.0528</f>
        <v>1989.0288</v>
      </c>
      <c r="L26" s="184"/>
    </row>
    <row r="27" spans="1:12">
      <c r="A27" s="15">
        <f t="shared" si="0"/>
        <v>4</v>
      </c>
      <c r="B27" s="112" t="s">
        <v>101</v>
      </c>
      <c r="C27" s="113"/>
      <c r="D27" s="113"/>
      <c r="E27" s="113"/>
      <c r="F27" s="113"/>
      <c r="G27" s="113"/>
      <c r="H27" s="114"/>
      <c r="I27" s="90" t="s">
        <v>120</v>
      </c>
      <c r="J27" s="74">
        <v>328</v>
      </c>
      <c r="K27" s="179">
        <v>6000</v>
      </c>
      <c r="L27" s="180"/>
    </row>
    <row r="28" spans="1:12">
      <c r="A28" s="15">
        <f t="shared" si="0"/>
        <v>5</v>
      </c>
      <c r="B28" s="112" t="s">
        <v>167</v>
      </c>
      <c r="C28" s="113"/>
      <c r="D28" s="113"/>
      <c r="E28" s="113"/>
      <c r="F28" s="113"/>
      <c r="G28" s="113"/>
      <c r="H28" s="114"/>
      <c r="I28" s="32" t="s">
        <v>168</v>
      </c>
      <c r="J28" s="15">
        <v>8</v>
      </c>
      <c r="K28" s="179">
        <f>32000*0.1403</f>
        <v>4489.6000000000004</v>
      </c>
      <c r="L28" s="180"/>
    </row>
    <row r="29" spans="1:12">
      <c r="A29" s="15">
        <f t="shared" si="0"/>
        <v>6</v>
      </c>
      <c r="B29" s="112" t="s">
        <v>170</v>
      </c>
      <c r="C29" s="113"/>
      <c r="D29" s="113"/>
      <c r="E29" s="113"/>
      <c r="F29" s="113"/>
      <c r="G29" s="113"/>
      <c r="H29" s="114"/>
      <c r="I29" s="27" t="s">
        <v>106</v>
      </c>
      <c r="J29" s="30">
        <v>4</v>
      </c>
      <c r="K29" s="179">
        <v>2110</v>
      </c>
      <c r="L29" s="180"/>
    </row>
    <row r="30" spans="1:12">
      <c r="A30" s="15">
        <f t="shared" si="0"/>
        <v>7</v>
      </c>
      <c r="B30" s="112" t="s">
        <v>171</v>
      </c>
      <c r="C30" s="113"/>
      <c r="D30" s="113"/>
      <c r="E30" s="113"/>
      <c r="F30" s="113"/>
      <c r="G30" s="113"/>
      <c r="H30" s="114"/>
      <c r="I30" s="95" t="s">
        <v>120</v>
      </c>
      <c r="J30" s="74">
        <v>301.5</v>
      </c>
      <c r="K30" s="179">
        <f>2400+358</f>
        <v>2758</v>
      </c>
      <c r="L30" s="180"/>
    </row>
    <row r="31" spans="1:12">
      <c r="A31" s="15">
        <f t="shared" si="0"/>
        <v>8</v>
      </c>
      <c r="B31" s="185" t="s">
        <v>172</v>
      </c>
      <c r="C31" s="186"/>
      <c r="D31" s="186"/>
      <c r="E31" s="186"/>
      <c r="F31" s="186"/>
      <c r="G31" s="186"/>
      <c r="H31" s="187"/>
      <c r="I31" s="15" t="s">
        <v>106</v>
      </c>
      <c r="J31" s="25">
        <v>1</v>
      </c>
      <c r="K31" s="177">
        <v>1500</v>
      </c>
      <c r="L31" s="188"/>
    </row>
    <row r="32" spans="1:12">
      <c r="A32" s="15">
        <f t="shared" si="0"/>
        <v>9</v>
      </c>
      <c r="B32" s="112" t="s">
        <v>173</v>
      </c>
      <c r="C32" s="115"/>
      <c r="D32" s="115"/>
      <c r="E32" s="115"/>
      <c r="F32" s="115"/>
      <c r="G32" s="115"/>
      <c r="H32" s="114"/>
      <c r="I32" s="15" t="s">
        <v>106</v>
      </c>
      <c r="J32" s="15">
        <v>1</v>
      </c>
      <c r="K32" s="177">
        <v>810</v>
      </c>
      <c r="L32" s="178"/>
    </row>
    <row r="33" spans="1:12">
      <c r="A33" s="15">
        <f t="shared" si="0"/>
        <v>10</v>
      </c>
      <c r="B33" s="112" t="s">
        <v>182</v>
      </c>
      <c r="C33" s="115"/>
      <c r="D33" s="115"/>
      <c r="E33" s="115"/>
      <c r="F33" s="115"/>
      <c r="G33" s="115"/>
      <c r="H33" s="114"/>
      <c r="I33" s="15" t="s">
        <v>106</v>
      </c>
      <c r="J33" s="15">
        <v>1</v>
      </c>
      <c r="K33" s="177">
        <v>6200</v>
      </c>
      <c r="L33" s="178"/>
    </row>
    <row r="34" spans="1:12">
      <c r="A34" s="15">
        <f t="shared" si="0"/>
        <v>11</v>
      </c>
      <c r="B34" s="112" t="s">
        <v>174</v>
      </c>
      <c r="C34" s="115"/>
      <c r="D34" s="115"/>
      <c r="E34" s="115"/>
      <c r="F34" s="115"/>
      <c r="G34" s="115"/>
      <c r="H34" s="114"/>
      <c r="I34" s="15" t="s">
        <v>106</v>
      </c>
      <c r="J34" s="15">
        <v>1</v>
      </c>
      <c r="K34" s="177">
        <f>(8775+400+2200)*0.7085</f>
        <v>8059.1875</v>
      </c>
      <c r="L34" s="178"/>
    </row>
    <row r="35" spans="1:12">
      <c r="A35" s="15">
        <f t="shared" si="0"/>
        <v>12</v>
      </c>
      <c r="B35" s="112" t="s">
        <v>195</v>
      </c>
      <c r="C35" s="113"/>
      <c r="D35" s="113"/>
      <c r="E35" s="113"/>
      <c r="F35" s="113"/>
      <c r="G35" s="113"/>
      <c r="H35" s="114"/>
      <c r="I35" s="15" t="s">
        <v>128</v>
      </c>
      <c r="J35" s="32">
        <v>3</v>
      </c>
      <c r="K35" s="177">
        <f>2400*0.2809</f>
        <v>674.16</v>
      </c>
      <c r="L35" s="178"/>
    </row>
    <row r="36" spans="1:12">
      <c r="A36" s="15">
        <f t="shared" si="0"/>
        <v>13</v>
      </c>
      <c r="B36" s="112" t="s">
        <v>175</v>
      </c>
      <c r="C36" s="113"/>
      <c r="D36" s="113"/>
      <c r="E36" s="113"/>
      <c r="F36" s="113"/>
      <c r="G36" s="113"/>
      <c r="H36" s="114"/>
      <c r="I36" s="15" t="s">
        <v>106</v>
      </c>
      <c r="J36" s="32">
        <v>1</v>
      </c>
      <c r="K36" s="177">
        <f>7661.11*0.5</f>
        <v>3830.5549999999998</v>
      </c>
      <c r="L36" s="178"/>
    </row>
    <row r="37" spans="1:12">
      <c r="A37" s="15">
        <f t="shared" si="0"/>
        <v>14</v>
      </c>
      <c r="B37" s="112" t="s">
        <v>192</v>
      </c>
      <c r="C37" s="115"/>
      <c r="D37" s="115"/>
      <c r="E37" s="115"/>
      <c r="F37" s="115"/>
      <c r="G37" s="115"/>
      <c r="H37" s="114"/>
      <c r="I37" s="15" t="s">
        <v>106</v>
      </c>
      <c r="J37" s="15">
        <v>1</v>
      </c>
      <c r="K37" s="177">
        <v>310</v>
      </c>
      <c r="L37" s="178"/>
    </row>
    <row r="38" spans="1:12">
      <c r="A38" s="15">
        <f t="shared" si="0"/>
        <v>15</v>
      </c>
      <c r="B38" s="112" t="s">
        <v>176</v>
      </c>
      <c r="C38" s="113"/>
      <c r="D38" s="113"/>
      <c r="E38" s="113"/>
      <c r="F38" s="113"/>
      <c r="G38" s="113"/>
      <c r="H38" s="114"/>
      <c r="I38" s="99" t="s">
        <v>120</v>
      </c>
      <c r="J38" s="74">
        <v>301.5</v>
      </c>
      <c r="K38" s="179">
        <f>2400+358</f>
        <v>2758</v>
      </c>
      <c r="L38" s="180"/>
    </row>
    <row r="39" spans="1:12">
      <c r="A39" s="15">
        <f t="shared" si="0"/>
        <v>16</v>
      </c>
      <c r="B39" s="112" t="s">
        <v>177</v>
      </c>
      <c r="C39" s="115"/>
      <c r="D39" s="115"/>
      <c r="E39" s="115"/>
      <c r="F39" s="115"/>
      <c r="G39" s="115"/>
      <c r="H39" s="115"/>
      <c r="I39" s="42" t="s">
        <v>106</v>
      </c>
      <c r="J39" s="100">
        <v>2</v>
      </c>
      <c r="K39" s="189">
        <f>380*2*0.5</f>
        <v>380</v>
      </c>
      <c r="L39" s="155"/>
    </row>
    <row r="40" spans="1:12">
      <c r="A40" s="15">
        <f t="shared" si="0"/>
        <v>17</v>
      </c>
      <c r="B40" s="112" t="s">
        <v>178</v>
      </c>
      <c r="C40" s="115"/>
      <c r="D40" s="115"/>
      <c r="E40" s="115"/>
      <c r="F40" s="115"/>
      <c r="G40" s="115"/>
      <c r="H40" s="115"/>
      <c r="I40" s="42" t="s">
        <v>106</v>
      </c>
      <c r="J40" s="100">
        <v>2</v>
      </c>
      <c r="K40" s="189">
        <f>250*2*0.5</f>
        <v>250</v>
      </c>
      <c r="L40" s="155"/>
    </row>
    <row r="41" spans="1:12">
      <c r="A41" s="15">
        <f t="shared" si="0"/>
        <v>18</v>
      </c>
      <c r="B41" s="112" t="s">
        <v>179</v>
      </c>
      <c r="C41" s="115"/>
      <c r="D41" s="115"/>
      <c r="E41" s="115"/>
      <c r="F41" s="115"/>
      <c r="G41" s="115"/>
      <c r="H41" s="114"/>
      <c r="I41" s="15" t="s">
        <v>180</v>
      </c>
      <c r="J41" s="101" t="s">
        <v>180</v>
      </c>
      <c r="K41" s="179">
        <v>10930</v>
      </c>
      <c r="L41" s="180"/>
    </row>
    <row r="42" spans="1:12">
      <c r="A42" s="15">
        <f t="shared" si="0"/>
        <v>19</v>
      </c>
      <c r="B42" s="112" t="s">
        <v>181</v>
      </c>
      <c r="C42" s="115"/>
      <c r="D42" s="115"/>
      <c r="E42" s="115"/>
      <c r="F42" s="115"/>
      <c r="G42" s="115"/>
      <c r="H42" s="114"/>
      <c r="I42" s="15" t="s">
        <v>106</v>
      </c>
      <c r="J42" s="102">
        <v>1</v>
      </c>
      <c r="K42" s="191">
        <v>6500</v>
      </c>
      <c r="L42" s="192"/>
    </row>
    <row r="43" spans="1:12">
      <c r="A43" s="15">
        <f t="shared" si="0"/>
        <v>20</v>
      </c>
      <c r="B43" s="112" t="s">
        <v>196</v>
      </c>
      <c r="C43" s="115"/>
      <c r="D43" s="115"/>
      <c r="E43" s="115"/>
      <c r="F43" s="115"/>
      <c r="G43" s="115"/>
      <c r="H43" s="114"/>
      <c r="I43" s="105" t="s">
        <v>106</v>
      </c>
      <c r="J43" s="15">
        <v>1</v>
      </c>
      <c r="K43" s="190">
        <f>20298/6</f>
        <v>3383</v>
      </c>
      <c r="L43" s="180"/>
    </row>
    <row r="44" spans="1:12">
      <c r="A44" s="25"/>
      <c r="B44" s="112" t="s">
        <v>197</v>
      </c>
      <c r="C44" s="115"/>
      <c r="D44" s="115"/>
      <c r="E44" s="115"/>
      <c r="F44" s="115"/>
      <c r="G44" s="115"/>
      <c r="H44" s="115"/>
      <c r="I44" s="25"/>
      <c r="J44" s="91"/>
      <c r="K44" s="159">
        <f>SUM(K24:L43)</f>
        <v>67155.531300000002</v>
      </c>
      <c r="L44" s="160"/>
    </row>
    <row r="45" spans="1:12">
      <c r="A45" s="25"/>
      <c r="B45" s="112" t="s">
        <v>200</v>
      </c>
      <c r="C45" s="115"/>
      <c r="D45" s="115"/>
      <c r="E45" s="115"/>
      <c r="F45" s="115"/>
      <c r="G45" s="115"/>
      <c r="H45" s="115"/>
      <c r="I45" s="25"/>
      <c r="J45" s="91"/>
      <c r="K45" s="110">
        <f>K44*0.14</f>
        <v>9401.7743820000014</v>
      </c>
      <c r="L45" s="111"/>
    </row>
    <row r="46" spans="1:12" ht="15" customHeight="1" thickBot="1">
      <c r="A46" s="25"/>
      <c r="B46" s="43" t="s">
        <v>198</v>
      </c>
      <c r="I46" s="76"/>
      <c r="J46" s="43"/>
      <c r="K46" s="157">
        <f>SUM(K44:L45)</f>
        <v>76557.305682000006</v>
      </c>
      <c r="L46" s="158"/>
    </row>
    <row r="47" spans="1:12" ht="18.75" customHeight="1" thickBot="1">
      <c r="A47" s="72"/>
      <c r="B47" s="77" t="s">
        <v>199</v>
      </c>
      <c r="C47" s="78"/>
      <c r="D47" s="78"/>
      <c r="E47" s="78"/>
      <c r="F47" s="78"/>
      <c r="G47" s="78"/>
      <c r="H47" s="79"/>
      <c r="I47" s="72"/>
      <c r="J47" s="72"/>
      <c r="K47" s="119">
        <f>K46+K23</f>
        <v>141824.575682</v>
      </c>
      <c r="L47" s="120"/>
    </row>
    <row r="48" spans="1:12">
      <c r="A48" t="s">
        <v>21</v>
      </c>
    </row>
    <row r="49" spans="1:12">
      <c r="A49" t="s">
        <v>23</v>
      </c>
      <c r="D49" s="28">
        <f>I4</f>
        <v>2014</v>
      </c>
      <c r="E49" s="43" t="s">
        <v>24</v>
      </c>
      <c r="G49" s="80">
        <f>K47-G19</f>
        <v>15602.167681999999</v>
      </c>
      <c r="H49" s="43" t="s">
        <v>25</v>
      </c>
    </row>
    <row r="50" spans="1:12" ht="15.75" thickBot="1">
      <c r="A50" t="s">
        <v>26</v>
      </c>
      <c r="B50" s="28">
        <f>I4</f>
        <v>2014</v>
      </c>
      <c r="C50" s="43" t="s">
        <v>29</v>
      </c>
    </row>
    <row r="51" spans="1:12">
      <c r="A51" s="37" t="s">
        <v>2</v>
      </c>
      <c r="B51" s="127" t="s">
        <v>39</v>
      </c>
      <c r="C51" s="128"/>
      <c r="D51" s="128"/>
      <c r="E51" s="128"/>
      <c r="F51" s="127" t="s">
        <v>40</v>
      </c>
      <c r="G51" s="128"/>
      <c r="H51" s="129"/>
      <c r="I51" s="193" t="s">
        <v>41</v>
      </c>
      <c r="J51" s="194"/>
      <c r="K51" s="194"/>
      <c r="L51" s="195"/>
    </row>
    <row r="52" spans="1:12" ht="15.75" thickBot="1">
      <c r="A52" s="38"/>
      <c r="B52" s="130"/>
      <c r="C52" s="131"/>
      <c r="D52" s="131"/>
      <c r="E52" s="131"/>
      <c r="F52" s="130"/>
      <c r="G52" s="131"/>
      <c r="H52" s="132"/>
      <c r="I52" s="196" t="s">
        <v>42</v>
      </c>
      <c r="J52" s="197"/>
      <c r="K52" s="197"/>
      <c r="L52" s="198"/>
    </row>
    <row r="53" spans="1:12">
      <c r="A53" s="19" t="s">
        <v>32</v>
      </c>
      <c r="B53" s="133" t="s">
        <v>43</v>
      </c>
      <c r="C53" s="134"/>
      <c r="D53" s="134"/>
      <c r="E53" s="135"/>
      <c r="F53" s="136" t="s">
        <v>193</v>
      </c>
      <c r="G53" s="137"/>
      <c r="H53" s="138"/>
      <c r="I53" s="136" t="s">
        <v>49</v>
      </c>
      <c r="J53" s="137"/>
      <c r="K53" s="137"/>
      <c r="L53" s="138"/>
    </row>
    <row r="54" spans="1:12">
      <c r="A54" s="15" t="s">
        <v>33</v>
      </c>
      <c r="B54" s="112" t="s">
        <v>44</v>
      </c>
      <c r="C54" s="115"/>
      <c r="D54" s="115"/>
      <c r="E54" s="114"/>
      <c r="F54" s="124" t="s">
        <v>157</v>
      </c>
      <c r="G54" s="125"/>
      <c r="H54" s="126"/>
      <c r="I54" s="124" t="s">
        <v>50</v>
      </c>
      <c r="J54" s="125"/>
      <c r="K54" s="125"/>
      <c r="L54" s="126"/>
    </row>
    <row r="55" spans="1:12">
      <c r="A55" s="15" t="s">
        <v>34</v>
      </c>
      <c r="B55" s="112" t="s">
        <v>45</v>
      </c>
      <c r="C55" s="115"/>
      <c r="D55" s="115"/>
      <c r="E55" s="114"/>
      <c r="F55" s="124" t="s">
        <v>76</v>
      </c>
      <c r="G55" s="125"/>
      <c r="H55" s="126"/>
      <c r="I55" s="124" t="s">
        <v>77</v>
      </c>
      <c r="J55" s="125"/>
      <c r="K55" s="125"/>
      <c r="L55" s="126"/>
    </row>
    <row r="56" spans="1:12">
      <c r="A56" s="15" t="s">
        <v>35</v>
      </c>
      <c r="B56" s="112" t="s">
        <v>46</v>
      </c>
      <c r="C56" s="115"/>
      <c r="D56" s="115"/>
      <c r="E56" s="114"/>
      <c r="F56" s="124" t="s">
        <v>78</v>
      </c>
      <c r="G56" s="125"/>
      <c r="H56" s="126"/>
      <c r="I56" s="124" t="s">
        <v>79</v>
      </c>
      <c r="J56" s="125"/>
      <c r="K56" s="125"/>
      <c r="L56" s="126"/>
    </row>
    <row r="57" spans="1:12">
      <c r="A57" s="15" t="s">
        <v>36</v>
      </c>
      <c r="B57" s="112" t="s">
        <v>47</v>
      </c>
      <c r="C57" s="115"/>
      <c r="D57" s="115"/>
      <c r="E57" s="114"/>
      <c r="F57" s="124" t="s">
        <v>80</v>
      </c>
      <c r="G57" s="125"/>
      <c r="H57" s="126"/>
      <c r="I57" s="124" t="s">
        <v>81</v>
      </c>
      <c r="J57" s="125"/>
      <c r="K57" s="125"/>
      <c r="L57" s="126"/>
    </row>
    <row r="58" spans="1:12" ht="15.75" thickBot="1">
      <c r="A58" s="20" t="s">
        <v>37</v>
      </c>
      <c r="B58" s="116" t="s">
        <v>48</v>
      </c>
      <c r="C58" s="117"/>
      <c r="D58" s="117"/>
      <c r="E58" s="118"/>
      <c r="F58" s="121" t="s">
        <v>82</v>
      </c>
      <c r="G58" s="122"/>
      <c r="H58" s="123"/>
      <c r="I58" s="121" t="s">
        <v>83</v>
      </c>
      <c r="J58" s="122"/>
      <c r="K58" s="122"/>
      <c r="L58" s="123"/>
    </row>
    <row r="59" spans="1:12">
      <c r="A59" s="21" t="s">
        <v>53</v>
      </c>
      <c r="B59" s="28">
        <f>I4+1</f>
        <v>2015</v>
      </c>
      <c r="C59" s="43" t="s">
        <v>54</v>
      </c>
    </row>
    <row r="60" spans="1:12">
      <c r="A60" s="107" t="s">
        <v>194</v>
      </c>
    </row>
    <row r="61" spans="1:12">
      <c r="A61" s="34" t="s">
        <v>51</v>
      </c>
      <c r="F61" s="60">
        <f>H83</f>
        <v>17.052790458669431</v>
      </c>
      <c r="G61" s="43" t="s">
        <v>52</v>
      </c>
    </row>
    <row r="62" spans="1:12">
      <c r="A62" s="34" t="s">
        <v>86</v>
      </c>
      <c r="C62" s="85"/>
      <c r="G62" s="28"/>
    </row>
    <row r="63" spans="1:12">
      <c r="A63" s="34" t="s">
        <v>90</v>
      </c>
      <c r="E63" s="28"/>
      <c r="K63" s="32"/>
    </row>
    <row r="64" spans="1:12">
      <c r="A64" s="35" t="s">
        <v>87</v>
      </c>
      <c r="B64" s="109"/>
      <c r="C64" s="109"/>
      <c r="D64" s="109"/>
      <c r="E64" s="109"/>
      <c r="F64" s="109"/>
      <c r="G64" s="109"/>
      <c r="H64" s="109"/>
      <c r="I64" s="35"/>
      <c r="J64" s="35"/>
      <c r="K64" s="35"/>
      <c r="L64" s="33"/>
    </row>
    <row r="65" spans="1:12">
      <c r="A65" s="156" t="s">
        <v>88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</row>
    <row r="66" spans="1:12">
      <c r="A66" s="156" t="s">
        <v>89</v>
      </c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</row>
    <row r="67" spans="1:12">
      <c r="A67" s="34" t="s">
        <v>55</v>
      </c>
      <c r="B67" s="28">
        <f>I4+1</f>
        <v>2015</v>
      </c>
      <c r="C67" s="43" t="s">
        <v>56</v>
      </c>
    </row>
    <row r="68" spans="1:12">
      <c r="A68" s="34" t="s">
        <v>57</v>
      </c>
    </row>
    <row r="69" spans="1:12">
      <c r="A69" s="34" t="s">
        <v>58</v>
      </c>
      <c r="J69" s="45">
        <v>8000</v>
      </c>
      <c r="K69" t="s">
        <v>10</v>
      </c>
    </row>
    <row r="70" spans="1:12">
      <c r="A70" s="156" t="s">
        <v>85</v>
      </c>
      <c r="B70" s="156"/>
      <c r="C70" s="156"/>
      <c r="D70" s="156"/>
      <c r="E70" s="156"/>
      <c r="J70" s="45">
        <v>8000</v>
      </c>
      <c r="K70" t="s">
        <v>10</v>
      </c>
    </row>
    <row r="71" spans="1:12">
      <c r="A71" s="34" t="s">
        <v>59</v>
      </c>
      <c r="J71" s="45">
        <v>1500</v>
      </c>
      <c r="K71" t="s">
        <v>10</v>
      </c>
    </row>
    <row r="72" spans="1:12">
      <c r="A72" s="34" t="s">
        <v>84</v>
      </c>
      <c r="J72" s="45">
        <v>15000</v>
      </c>
      <c r="K72" t="s">
        <v>10</v>
      </c>
    </row>
    <row r="73" spans="1:12">
      <c r="A73" s="34" t="s">
        <v>60</v>
      </c>
      <c r="J73" s="45">
        <v>8000</v>
      </c>
      <c r="K73" t="s">
        <v>10</v>
      </c>
    </row>
    <row r="74" spans="1:12">
      <c r="A74" s="34" t="s">
        <v>61</v>
      </c>
      <c r="J74" s="45">
        <v>8000</v>
      </c>
      <c r="K74" t="s">
        <v>10</v>
      </c>
    </row>
    <row r="75" spans="1:12">
      <c r="A75" s="104" t="s">
        <v>191</v>
      </c>
      <c r="J75" s="45">
        <v>150000</v>
      </c>
      <c r="K75" t="s">
        <v>10</v>
      </c>
    </row>
    <row r="76" spans="1:12">
      <c r="A76" s="103" t="s">
        <v>186</v>
      </c>
      <c r="B76" s="26"/>
      <c r="C76" s="26"/>
      <c r="J76" s="45">
        <v>60000</v>
      </c>
      <c r="K76" t="s">
        <v>10</v>
      </c>
    </row>
    <row r="77" spans="1:12">
      <c r="A77" s="103" t="s">
        <v>187</v>
      </c>
      <c r="B77" s="26"/>
      <c r="C77" s="26"/>
      <c r="J77" s="45">
        <v>50000</v>
      </c>
      <c r="K77" t="s">
        <v>10</v>
      </c>
    </row>
    <row r="78" spans="1:12">
      <c r="A78" s="103" t="s">
        <v>188</v>
      </c>
      <c r="B78" s="26"/>
      <c r="C78" s="26"/>
      <c r="J78" s="45">
        <v>30000</v>
      </c>
      <c r="K78" t="s">
        <v>10</v>
      </c>
    </row>
    <row r="79" spans="1:12">
      <c r="A79" s="103" t="s">
        <v>189</v>
      </c>
      <c r="B79" s="26"/>
      <c r="C79" s="26"/>
      <c r="J79" s="45">
        <v>80000</v>
      </c>
      <c r="K79" t="s">
        <v>10</v>
      </c>
    </row>
    <row r="80" spans="1:12">
      <c r="A80" s="166" t="s">
        <v>190</v>
      </c>
      <c r="B80" s="166"/>
      <c r="C80" s="166"/>
      <c r="D80" s="166"/>
      <c r="E80" s="166"/>
      <c r="F80" s="166"/>
      <c r="G80" s="166"/>
      <c r="H80" s="26"/>
      <c r="J80" s="45">
        <v>20000</v>
      </c>
      <c r="K80" t="s">
        <v>10</v>
      </c>
    </row>
    <row r="81" spans="1:12">
      <c r="A81" s="22" t="s">
        <v>62</v>
      </c>
      <c r="J81" s="46">
        <f>SUM(J69:J80)</f>
        <v>438500</v>
      </c>
      <c r="K81" s="23" t="s">
        <v>63</v>
      </c>
    </row>
    <row r="82" spans="1:12">
      <c r="A82" s="34" t="s">
        <v>64</v>
      </c>
      <c r="H82" s="28">
        <f>I4</f>
        <v>2014</v>
      </c>
      <c r="I82" t="s">
        <v>72</v>
      </c>
      <c r="K82" s="5">
        <f>G49</f>
        <v>15602.167681999999</v>
      </c>
    </row>
    <row r="83" spans="1:12">
      <c r="A83" s="34" t="s">
        <v>65</v>
      </c>
      <c r="C83" s="80">
        <f>J81+K82</f>
        <v>454102.16768199997</v>
      </c>
      <c r="D83" s="28" t="s">
        <v>66</v>
      </c>
      <c r="E83" s="88">
        <f>I4+1</f>
        <v>2015</v>
      </c>
      <c r="F83" s="43" t="s">
        <v>68</v>
      </c>
      <c r="H83" s="60">
        <f>C83/(E6*12)</f>
        <v>17.052790458669431</v>
      </c>
      <c r="I83" t="s">
        <v>69</v>
      </c>
    </row>
    <row r="85" spans="1:12" ht="33.75" customHeight="1">
      <c r="B85" s="43" t="s">
        <v>70</v>
      </c>
    </row>
    <row r="86" spans="1:12">
      <c r="B86" s="43" t="s">
        <v>40</v>
      </c>
      <c r="I86" t="s">
        <v>71</v>
      </c>
    </row>
    <row r="87" spans="1:12">
      <c r="A87" s="43"/>
      <c r="I87" s="43"/>
      <c r="J87" s="43"/>
      <c r="K87" s="161" t="s">
        <v>160</v>
      </c>
      <c r="L87" s="161"/>
    </row>
  </sheetData>
  <mergeCells count="86">
    <mergeCell ref="B55:E55"/>
    <mergeCell ref="F55:H55"/>
    <mergeCell ref="I55:L55"/>
    <mergeCell ref="A70:E70"/>
    <mergeCell ref="B56:E56"/>
    <mergeCell ref="F56:H56"/>
    <mergeCell ref="I56:L56"/>
    <mergeCell ref="B57:E57"/>
    <mergeCell ref="F57:H57"/>
    <mergeCell ref="I57:L57"/>
    <mergeCell ref="B58:E58"/>
    <mergeCell ref="F58:H58"/>
    <mergeCell ref="I58:L58"/>
    <mergeCell ref="A65:L65"/>
    <mergeCell ref="A66:L66"/>
    <mergeCell ref="B53:E53"/>
    <mergeCell ref="F53:H53"/>
    <mergeCell ref="I53:L53"/>
    <mergeCell ref="B54:E54"/>
    <mergeCell ref="F54:H54"/>
    <mergeCell ref="I54:L54"/>
    <mergeCell ref="K47:L47"/>
    <mergeCell ref="B51:E51"/>
    <mergeCell ref="F51:H51"/>
    <mergeCell ref="I51:L51"/>
    <mergeCell ref="B52:E52"/>
    <mergeCell ref="F52:H52"/>
    <mergeCell ref="I52:L52"/>
    <mergeCell ref="B44:H44"/>
    <mergeCell ref="K44:L44"/>
    <mergeCell ref="B45:H45"/>
    <mergeCell ref="K45:L45"/>
    <mergeCell ref="K46:L46"/>
    <mergeCell ref="B40:H40"/>
    <mergeCell ref="K40:L40"/>
    <mergeCell ref="B41:H41"/>
    <mergeCell ref="K41:L41"/>
    <mergeCell ref="B43:H43"/>
    <mergeCell ref="K43:L43"/>
    <mergeCell ref="B42:H42"/>
    <mergeCell ref="K42:L42"/>
    <mergeCell ref="B36:H36"/>
    <mergeCell ref="K36:L36"/>
    <mergeCell ref="B38:H38"/>
    <mergeCell ref="K38:L38"/>
    <mergeCell ref="B39:H39"/>
    <mergeCell ref="K39:L39"/>
    <mergeCell ref="B37:H37"/>
    <mergeCell ref="K37:L37"/>
    <mergeCell ref="B33:H33"/>
    <mergeCell ref="K33:L33"/>
    <mergeCell ref="B34:H34"/>
    <mergeCell ref="K34:L34"/>
    <mergeCell ref="B35:H35"/>
    <mergeCell ref="K35:L35"/>
    <mergeCell ref="B31:H31"/>
    <mergeCell ref="K31:L31"/>
    <mergeCell ref="B32:H32"/>
    <mergeCell ref="K32:L32"/>
    <mergeCell ref="B28:H28"/>
    <mergeCell ref="K28:L28"/>
    <mergeCell ref="B29:H29"/>
    <mergeCell ref="K29:L29"/>
    <mergeCell ref="B30:H30"/>
    <mergeCell ref="K30:L30"/>
    <mergeCell ref="K25:L25"/>
    <mergeCell ref="B26:H26"/>
    <mergeCell ref="K26:L26"/>
    <mergeCell ref="B27:H27"/>
    <mergeCell ref="K27:L27"/>
    <mergeCell ref="K1:L1"/>
    <mergeCell ref="K87:L87"/>
    <mergeCell ref="A80:G80"/>
    <mergeCell ref="A2:L2"/>
    <mergeCell ref="A3:L3"/>
    <mergeCell ref="A7:B7"/>
    <mergeCell ref="A20:B20"/>
    <mergeCell ref="B21:H21"/>
    <mergeCell ref="K21:L21"/>
    <mergeCell ref="B22:H22"/>
    <mergeCell ref="K22:L22"/>
    <mergeCell ref="B23:H23"/>
    <mergeCell ref="K23:L23"/>
    <mergeCell ref="B24:H24"/>
    <mergeCell ref="K24:L24"/>
    <mergeCell ref="B25:H25"/>
  </mergeCells>
  <pageMargins left="0.25" right="0.16" top="0.75" bottom="0.75" header="0.28999999999999998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2013</vt:lpstr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2015-03-25T12:15:12Z</dcterms:modified>
</cp:coreProperties>
</file>