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2855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K52" i="3"/>
  <c r="K51"/>
  <c r="K50"/>
  <c r="K49"/>
  <c r="K44"/>
  <c r="K43"/>
  <c r="K42"/>
  <c r="K41"/>
  <c r="K40"/>
  <c r="K39"/>
  <c r="K38"/>
  <c r="K36"/>
  <c r="K35"/>
  <c r="K34"/>
  <c r="K33"/>
  <c r="K32"/>
  <c r="K31"/>
  <c r="K30"/>
  <c r="K29"/>
  <c r="K28"/>
  <c r="A28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K56" l="1"/>
  <c r="K57" s="1"/>
  <c r="K58" s="1"/>
  <c r="K59" s="1"/>
  <c r="D61" l="1"/>
  <c r="B6" l="1"/>
  <c r="H89" l="1"/>
  <c r="J88"/>
  <c r="B79"/>
  <c r="B71"/>
  <c r="B62"/>
  <c r="G20"/>
  <c r="G18" l="1"/>
  <c r="G17"/>
  <c r="G16"/>
  <c r="G15"/>
  <c r="G7"/>
  <c r="I7" s="1"/>
  <c r="A21" s="1"/>
  <c r="J14" l="1"/>
  <c r="G61" l="1"/>
  <c r="K89" l="1"/>
  <c r="C90" s="1"/>
  <c r="H90" s="1"/>
  <c r="F73" s="1"/>
</calcChain>
</file>

<file path=xl/sharedStrings.xml><?xml version="1.0" encoding="utf-8"?>
<sst xmlns="http://schemas.openxmlformats.org/spreadsheetml/2006/main" count="203" uniqueCount="158">
  <si>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</si>
  <si>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</si>
  <si>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</si>
  <si>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</si>
  <si>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</si>
  <si>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</si>
  <si>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</si>
  <si>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</si>
  <si>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</si>
  <si>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</si>
  <si>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</si>
  <si>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</si>
  <si>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</si>
  <si>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</si>
  <si>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</si>
  <si>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</si>
  <si>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</si>
  <si>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</si>
  <si>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</si>
  <si>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</si>
  <si>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</si>
  <si>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</si>
  <si>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</si>
  <si>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</si>
  <si>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 xml:space="preserve">года составляет </t>
  </si>
  <si>
    <t>рубля.</t>
  </si>
  <si>
    <t>5.    В</t>
  </si>
  <si>
    <t xml:space="preserve">1.   В 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</si>
  <si>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</si>
  <si>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</si>
  <si>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</si>
  <si>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</si>
  <si>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</si>
  <si>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</si>
  <si>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</si>
  <si>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</si>
  <si>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</si>
  <si>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</si>
  <si>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</si>
  <si>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</si>
  <si>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</si>
  <si>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</si>
  <si>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</si>
  <si>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</si>
  <si>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</si>
  <si>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</si>
  <si>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</si>
  <si>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>218,90 руб./чел.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</si>
  <si>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</si>
  <si>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</si>
  <si>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</si>
  <si>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исходя из объемов потребления в</t>
  </si>
  <si>
    <t>году (с 1 января) предлагается следующая плата за содержание и ремонт общего имущества:</t>
  </si>
  <si>
    <t>году, с последующим перерасчетом по окончании</t>
  </si>
  <si>
    <t>г.);</t>
  </si>
  <si>
    <t xml:space="preserve"> - плата   за   горячее  и  холодное  водоснабжение ,  водоотведение ,  электроснабжение   будет   начисляться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</si>
  <si>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</si>
  <si>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</si>
  <si>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обслуживание системы видеонаблюдения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</si>
  <si>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</si>
  <si>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</si>
  <si>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</si>
  <si>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</si>
  <si>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</si>
  <si>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</si>
  <si>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</si>
  <si>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</si>
  <si>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</si>
  <si>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</si>
  <si>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</si>
  <si>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</si>
  <si>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</si>
  <si>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</si>
  <si>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</si>
  <si>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шт.</t>
  </si>
  <si>
    <t>рубля),     направлена на следующие мероприятия:</t>
  </si>
  <si>
    <t xml:space="preserve">   по дому</t>
  </si>
  <si>
    <t>( ОАО "Западное управление")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</si>
  <si>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</si>
  <si>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 xml:space="preserve">  -  благоустройство территории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</si>
  <si>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38 -</t>
    </r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</si>
  <si>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</si>
  <si>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по новым нормативам, введенным с 01 января 2013 года Приказом № 7-мпр от 27 августа 2012 года. ).</t>
  </si>
  <si>
    <t xml:space="preserve">   119 (</t>
  </si>
  <si>
    <t>6.   В</t>
  </si>
  <si>
    <t>т.</t>
  </si>
  <si>
    <t xml:space="preserve">                        </t>
  </si>
  <si>
    <t xml:space="preserve">     по    мкр.  Юбилейный    за </t>
  </si>
  <si>
    <t xml:space="preserve">состоянию  на   31 декабря  </t>
  </si>
  <si>
    <t>м</t>
  </si>
  <si>
    <t>Управление МКД (14%)</t>
  </si>
  <si>
    <t>301,44 руб./чел.</t>
  </si>
  <si>
    <t>74,71 руб./чел.</t>
  </si>
  <si>
    <t>116,82 руб./чел.</t>
  </si>
  <si>
    <t>2011-2012</t>
  </si>
  <si>
    <t xml:space="preserve">   общедомовых   и   индивидуальных  приборов  учета.   При   отсутствии  индивидуальных  приборов  учета </t>
  </si>
  <si>
    <t>год</t>
  </si>
  <si>
    <t>В</t>
  </si>
  <si>
    <t>18,50 руб./м²</t>
  </si>
  <si>
    <t>0,019 Гкал/м</t>
  </si>
  <si>
    <t>0,027 Гкал/м</t>
  </si>
  <si>
    <t>54,01 руб./чел.</t>
  </si>
  <si>
    <t>98,72 руб./чел.</t>
  </si>
  <si>
    <t xml:space="preserve"> Что  с  учетом  перерасхода (+)   или   экономии (-)  средств    в </t>
  </si>
  <si>
    <r>
      <t>м</t>
    </r>
    <r>
      <rPr>
        <vertAlign val="superscript"/>
        <sz val="11"/>
        <rFont val="Calibri"/>
        <family val="2"/>
        <charset val="204"/>
        <scheme val="minor"/>
      </rPr>
      <t>2</t>
    </r>
  </si>
  <si>
    <r>
      <t>м</t>
    </r>
    <r>
      <rPr>
        <sz val="11"/>
        <rFont val="Calibri"/>
        <family val="2"/>
        <charset val="204"/>
      </rPr>
      <t>³</t>
    </r>
  </si>
  <si>
    <t>Юб 119 (II)</t>
  </si>
  <si>
    <t>Вывоз строительного негабаритного мусора в марте(23,05%).</t>
  </si>
  <si>
    <t>Вывоз строительного негабаритного мусора в апреле(23,05%).</t>
  </si>
  <si>
    <t>Вывоз строительного негабаритного мусора в мае(23,05%).</t>
  </si>
  <si>
    <t>Замена патрона в тамбуре подъезд №1, Замена лампы ДРЛ улич. освещение.</t>
  </si>
  <si>
    <t>Монтаж столов, верстака для мастерской (23,05%).</t>
  </si>
  <si>
    <t>Перерасход (+) или экономия (-) средств в 2013 году.</t>
  </si>
  <si>
    <t>Замена манометров в ИТП .</t>
  </si>
  <si>
    <t xml:space="preserve">Замена термометров в ИТП. </t>
  </si>
  <si>
    <t>Монтаж уличного пандуса подъезд №2.</t>
  </si>
  <si>
    <t>Техническое освидетельствование лифта.</t>
  </si>
  <si>
    <t>Монтаж охранной сигнализации.</t>
  </si>
  <si>
    <t>Перенос выключателя на входе в подвал, перевод розетки в мастерской.</t>
  </si>
  <si>
    <t>раб.</t>
  </si>
  <si>
    <t>Перенос урн, скамеек, монтаж ограждения (23,05%).</t>
  </si>
  <si>
    <t>Замена ламп в светильниках с использованием автовышки(23,05%).</t>
  </si>
  <si>
    <t>рейс.</t>
  </si>
  <si>
    <t>Уборка и вывоз снега с  придомовой территории в декабре (23,05%).</t>
  </si>
  <si>
    <t>Всего в 2014году:</t>
  </si>
  <si>
    <t>ИТОГО за 2014год:</t>
  </si>
  <si>
    <t>ИТОГО на 31.12.2014г:</t>
  </si>
  <si>
    <t xml:space="preserve"> - </t>
  </si>
  <si>
    <t>Организация новогоднего праздника (23,05%).</t>
  </si>
  <si>
    <t>Замена стекол на светильники в подъезде №2 на 5 этаже.</t>
  </si>
  <si>
    <t>Обслуживание охранной сигнализации.</t>
  </si>
  <si>
    <t>мес.</t>
  </si>
  <si>
    <t>рублей (</t>
  </si>
  <si>
    <t>Монтаж щетинистого покрытия на ступеньках крыльца 2 подъезд (от 29.09.2013).</t>
  </si>
  <si>
    <t>Генеральная уборка подъездов в декабре.</t>
  </si>
  <si>
    <t>Устройство мастерской (23,05%).</t>
  </si>
  <si>
    <t>Ремонт наружного освещения (замена ламп ДРЛ с торца дома(23,05%).</t>
  </si>
  <si>
    <t>Посадка  сизой ели 4 м  (23,05%).</t>
  </si>
  <si>
    <t>Посадка деревьев и кустарников (23,05%).</t>
  </si>
  <si>
    <t>Благоустройство территории (завоз и распределение чернозема для газонов) (23,05%).</t>
  </si>
  <si>
    <t>Монтаж таблички для елки (обработано ядохимикатами, опасно)(23,05%).</t>
  </si>
  <si>
    <t>Монтаж металлической двери в мастерскую (23,05%).</t>
  </si>
  <si>
    <t>Приобретение детских новогодних подарков (23,05%).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</si>
  <si>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1 </t>
    </r>
    <r>
      <rPr>
        <sz val="11"/>
        <color theme="1"/>
        <rFont val="Calibri"/>
        <family val="2"/>
        <charset val="204"/>
        <scheme val="minor"/>
      </rPr>
      <t xml:space="preserve">-              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</si>
  <si>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5 </t>
    </r>
    <r>
      <rPr>
        <sz val="11"/>
        <color theme="1"/>
        <rFont val="Calibri"/>
        <family val="2"/>
        <charset val="204"/>
        <scheme val="minor"/>
      </rPr>
      <t xml:space="preserve">-              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</si>
  <si>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>11</t>
    </r>
    <r>
      <rPr>
        <sz val="11"/>
        <color theme="1"/>
        <rFont val="Calibri"/>
        <family val="2"/>
        <charset val="204"/>
        <scheme val="minor"/>
      </rPr>
      <t xml:space="preserve">-    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</si>
  <si>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13 -</t>
    </r>
  </si>
  <si>
    <r>
      <rPr>
        <sz val="11"/>
        <color theme="1"/>
        <rFont val="Calibri"/>
        <family val="2"/>
        <charset val="204"/>
        <scheme val="minor"/>
      </rP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32 -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</si>
  <si>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36 -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</si>
  <si>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46 -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</si>
  <si>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54</t>
    </r>
    <r>
      <rPr>
        <sz val="11"/>
        <color theme="1"/>
        <rFont val="Calibri"/>
        <family val="2"/>
        <charset val="204"/>
        <scheme val="minor"/>
      </rPr>
      <t>-</t>
    </r>
  </si>
  <si>
    <r>
      <t>15,64  руб./м</t>
    </r>
    <r>
      <rPr>
        <sz val="11"/>
        <color theme="1"/>
        <rFont val="Calibri"/>
        <family val="2"/>
        <charset val="204"/>
      </rPr>
      <t>²</t>
    </r>
  </si>
  <si>
    <t>Устройство ворсистого коврика перед входом п подъезд №2.</t>
  </si>
  <si>
    <t>м.п.</t>
  </si>
  <si>
    <t xml:space="preserve"> </t>
  </si>
  <si>
    <t>Корректировка платы за отопление.</t>
  </si>
  <si>
    <t xml:space="preserve"> Гкал/м²</t>
  </si>
  <si>
    <t>Предъявлен на рассмотрение жителей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</si>
</sst>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sz val="11"/>
      <name val="Calibri"/>
      <family val="2"/>
      <charset val="204"/>
    </font>
    <font>
      <vertAlign val="superscript"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10" xfId="0" applyBorder="1" applyAlignment="1">
      <alignment horizontal="center"/>
    </xf>
    <xf numFmtId="4" fontId="0" fillId="0" borderId="0" xfId="0" applyNumberFormat="1" applyFill="1"/>
    <xf numFmtId="0" fontId="0" fillId="0" borderId="0" xfId="0" applyFill="1"/>
    <xf numFmtId="0" fontId="0" fillId="0" borderId="0" xfId="0" applyFill="1" applyBorder="1"/>
    <xf numFmtId="4" fontId="1" fillId="0" borderId="0" xfId="0" applyNumberFormat="1" applyFont="1" applyFill="1" applyAlignment="1">
      <alignment horizontal="center"/>
    </xf>
    <xf numFmtId="0" fontId="0" fillId="0" borderId="10" xfId="0" applyFill="1" applyBorder="1" applyAlignment="1">
      <alignment horizontal="center"/>
    </xf>
    <xf numFmtId="0" fontId="7" fillId="0" borderId="0" xfId="0" applyFont="1" applyFill="1"/>
    <xf numFmtId="4" fontId="8" fillId="0" borderId="0" xfId="0" applyNumberFormat="1" applyFont="1" applyFill="1"/>
    <xf numFmtId="4" fontId="8" fillId="0" borderId="0" xfId="0" applyNumberFormat="1" applyFont="1" applyFill="1" applyAlignment="1">
      <alignment horizontal="center"/>
    </xf>
    <xf numFmtId="1" fontId="7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7" fillId="0" borderId="2" xfId="0" applyFont="1" applyFill="1" applyBorder="1"/>
    <xf numFmtId="0" fontId="7" fillId="0" borderId="3" xfId="0" applyFont="1" applyFill="1" applyBorder="1"/>
    <xf numFmtId="0" fontId="8" fillId="0" borderId="13" xfId="0" applyFont="1" applyFill="1" applyBorder="1" applyAlignment="1"/>
    <xf numFmtId="0" fontId="8" fillId="0" borderId="14" xfId="0" applyFont="1" applyFill="1" applyBorder="1" applyAlignment="1"/>
    <xf numFmtId="0" fontId="8" fillId="0" borderId="15" xfId="0" applyFont="1" applyFill="1" applyBorder="1" applyAlignment="1"/>
    <xf numFmtId="0" fontId="0" fillId="0" borderId="0" xfId="0" applyFill="1" applyBorder="1" applyAlignment="1">
      <alignment horizontal="left"/>
    </xf>
    <xf numFmtId="0" fontId="10" fillId="0" borderId="0" xfId="0" applyFont="1" applyFill="1" applyAlignment="1">
      <alignment horizontal="right"/>
    </xf>
    <xf numFmtId="0" fontId="8" fillId="0" borderId="0" xfId="0" applyFont="1" applyFill="1"/>
    <xf numFmtId="0" fontId="7" fillId="0" borderId="0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/>
    <xf numFmtId="0" fontId="8" fillId="0" borderId="0" xfId="0" applyFont="1" applyFill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/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4" fontId="1" fillId="0" borderId="0" xfId="0" applyNumberFormat="1" applyFont="1" applyFill="1"/>
    <xf numFmtId="0" fontId="5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14" xfId="0" applyFont="1" applyFill="1" applyBorder="1" applyAlignment="1"/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9" fillId="0" borderId="0" xfId="0" applyNumberFormat="1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6" fillId="0" borderId="8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" fontId="3" fillId="0" borderId="0" xfId="0" applyNumberFormat="1" applyFont="1" applyFill="1" applyAlignment="1">
      <alignment horizontal="righ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4" fontId="4" fillId="0" borderId="0" xfId="0" applyNumberFormat="1" applyFont="1" applyFill="1" applyAlignment="1">
      <alignment horizontal="left"/>
    </xf>
    <xf numFmtId="4" fontId="0" fillId="0" borderId="0" xfId="0" applyNumberFormat="1" applyFill="1" applyAlignment="1">
      <alignment horizontal="center"/>
    </xf>
    <xf numFmtId="4" fontId="1" fillId="0" borderId="0" xfId="0" applyNumberFormat="1" applyFont="1" applyFill="1" applyAlignment="1">
      <alignment horizontal="right"/>
    </xf>
    <xf numFmtId="0" fontId="0" fillId="0" borderId="12" xfId="0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0" fillId="0" borderId="13" xfId="0" applyFill="1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4" fontId="1" fillId="0" borderId="13" xfId="0" applyNumberFormat="1" applyFont="1" applyFill="1" applyBorder="1" applyAlignment="1">
      <alignment horizontal="right"/>
    </xf>
    <xf numFmtId="4" fontId="1" fillId="0" borderId="15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left"/>
    </xf>
    <xf numFmtId="4" fontId="0" fillId="0" borderId="8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4" fontId="9" fillId="0" borderId="6" xfId="0" applyNumberFormat="1" applyFont="1" applyFill="1" applyBorder="1" applyAlignment="1"/>
    <xf numFmtId="4" fontId="9" fillId="0" borderId="7" xfId="0" applyNumberFormat="1" applyFont="1" applyFill="1" applyBorder="1" applyAlignment="1"/>
    <xf numFmtId="4" fontId="8" fillId="0" borderId="8" xfId="0" applyNumberFormat="1" applyFont="1" applyFill="1" applyBorder="1" applyAlignment="1"/>
    <xf numFmtId="4" fontId="8" fillId="0" borderId="9" xfId="0" applyNumberFormat="1" applyFont="1" applyFill="1" applyBorder="1" applyAlignment="1"/>
    <xf numFmtId="4" fontId="7" fillId="0" borderId="8" xfId="0" applyNumberFormat="1" applyFont="1" applyFill="1" applyBorder="1" applyAlignment="1"/>
    <xf numFmtId="4" fontId="7" fillId="0" borderId="9" xfId="0" applyNumberFormat="1" applyFont="1" applyFill="1" applyBorder="1" applyAlignment="1"/>
    <xf numFmtId="4" fontId="8" fillId="0" borderId="6" xfId="0" applyNumberFormat="1" applyFont="1" applyFill="1" applyBorder="1" applyAlignment="1">
      <alignment horizontal="right"/>
    </xf>
    <xf numFmtId="0" fontId="8" fillId="0" borderId="7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8" fillId="0" borderId="4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2"/>
  <sheetViews>
    <sheetView tabSelected="1" workbookViewId="0">
      <selection sqref="A1:XFD1"/>
    </sheetView>
  </sheetViews>
  <sheetFormatPr defaultRowHeight="15"/>
  <cols>
    <col min="1" max="1" width="5.85546875" style="3" customWidth="1"/>
    <col min="2" max="2" width="9.140625" style="3"/>
    <col min="3" max="3" width="10" style="3" bestFit="1" customWidth="1"/>
    <col min="4" max="6" width="9.140625" style="3"/>
    <col min="7" max="7" width="12.7109375" style="3" customWidth="1"/>
    <col min="8" max="8" width="7.85546875" style="3" customWidth="1"/>
    <col min="9" max="9" width="9.140625" style="3"/>
    <col min="10" max="10" width="11.28515625" style="3" bestFit="1" customWidth="1"/>
    <col min="11" max="11" width="10.7109375" style="3" bestFit="1" customWidth="1"/>
    <col min="12" max="12" width="1.5703125" style="3" customWidth="1"/>
  </cols>
  <sheetData>
    <row r="1" spans="1:12" ht="30.75" customHeight="1">
      <c r="A1" s="7"/>
      <c r="B1" s="7"/>
      <c r="C1" s="7"/>
      <c r="D1" s="7"/>
      <c r="E1" s="7"/>
      <c r="F1" s="7"/>
      <c r="G1" s="7"/>
      <c r="H1" s="7"/>
      <c r="I1" s="7"/>
      <c r="J1" s="69" t="s">
        <v>157</v>
      </c>
      <c r="K1" s="69"/>
      <c r="L1" s="7"/>
    </row>
    <row r="2" spans="1:12" ht="18.7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ht="18.7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ht="18.75">
      <c r="A4" s="28"/>
      <c r="B4" s="29" t="s">
        <v>2</v>
      </c>
      <c r="C4" s="68">
        <v>119</v>
      </c>
      <c r="D4" s="30" t="s">
        <v>87</v>
      </c>
      <c r="E4" s="30"/>
      <c r="F4" s="30"/>
      <c r="G4" s="30"/>
      <c r="H4" s="30">
        <v>2014</v>
      </c>
      <c r="I4" s="30" t="s">
        <v>96</v>
      </c>
      <c r="J4" s="30"/>
    </row>
    <row r="5" spans="1:12" ht="18.75">
      <c r="A5" s="28"/>
      <c r="B5" s="68"/>
      <c r="C5" s="71"/>
      <c r="D5" s="71"/>
      <c r="E5" s="71"/>
      <c r="F5" s="71"/>
      <c r="G5" s="71"/>
      <c r="H5" s="71"/>
      <c r="I5" s="71"/>
      <c r="J5" s="71"/>
    </row>
    <row r="6" spans="1:12" ht="15.75">
      <c r="A6" s="31" t="s">
        <v>27</v>
      </c>
      <c r="B6" s="66">
        <f>H4</f>
        <v>2014</v>
      </c>
      <c r="C6" s="3" t="s">
        <v>76</v>
      </c>
      <c r="D6" s="33" t="s">
        <v>83</v>
      </c>
      <c r="E6" s="53">
        <v>5366.8</v>
      </c>
      <c r="F6" s="3" t="s">
        <v>68</v>
      </c>
      <c r="K6" s="72"/>
      <c r="L6" s="72"/>
    </row>
    <row r="7" spans="1:12" ht="15.75">
      <c r="A7" s="73">
        <v>3084499.43</v>
      </c>
      <c r="B7" s="73"/>
      <c r="C7" s="34" t="s">
        <v>3</v>
      </c>
      <c r="G7" s="35">
        <f>A7-J8</f>
        <v>2594296.83</v>
      </c>
      <c r="H7" s="3" t="s">
        <v>132</v>
      </c>
      <c r="I7" s="36">
        <f>(G7/A7)*100</f>
        <v>84.107547719663543</v>
      </c>
      <c r="J7" s="3" t="s">
        <v>4</v>
      </c>
      <c r="K7" s="72"/>
      <c r="L7" s="72"/>
    </row>
    <row r="8" spans="1:12" ht="15.75">
      <c r="A8" s="3" t="s">
        <v>5</v>
      </c>
      <c r="J8" s="59">
        <v>490202.6</v>
      </c>
      <c r="K8" s="70" t="s">
        <v>6</v>
      </c>
      <c r="L8" s="70"/>
    </row>
    <row r="9" spans="1:12">
      <c r="A9" s="3" t="s">
        <v>7</v>
      </c>
      <c r="K9" s="72"/>
      <c r="L9" s="72"/>
    </row>
    <row r="10" spans="1:12">
      <c r="A10" s="3" t="s">
        <v>143</v>
      </c>
      <c r="B10" s="2">
        <v>18241.11</v>
      </c>
      <c r="C10" s="3" t="s">
        <v>12</v>
      </c>
      <c r="E10" s="37" t="s">
        <v>146</v>
      </c>
      <c r="F10" s="2">
        <v>16103.69</v>
      </c>
      <c r="G10" s="3" t="s">
        <v>12</v>
      </c>
      <c r="I10" s="3" t="s">
        <v>80</v>
      </c>
      <c r="J10" s="2">
        <v>25593.8</v>
      </c>
      <c r="K10" s="70" t="s">
        <v>12</v>
      </c>
      <c r="L10" s="70"/>
    </row>
    <row r="11" spans="1:12">
      <c r="A11" s="3" t="s">
        <v>144</v>
      </c>
      <c r="B11" s="2">
        <v>23308.86</v>
      </c>
      <c r="C11" s="3" t="s">
        <v>12</v>
      </c>
      <c r="E11" s="37" t="s">
        <v>147</v>
      </c>
      <c r="F11" s="2">
        <v>24523.66</v>
      </c>
      <c r="G11" s="3" t="s">
        <v>12</v>
      </c>
      <c r="I11" s="3" t="s">
        <v>149</v>
      </c>
      <c r="J11" s="2">
        <v>20552.16</v>
      </c>
      <c r="K11" s="70" t="s">
        <v>12</v>
      </c>
      <c r="L11" s="70"/>
    </row>
    <row r="12" spans="1:12">
      <c r="A12" s="3" t="s">
        <v>145</v>
      </c>
      <c r="B12" s="2">
        <v>18016.97</v>
      </c>
      <c r="C12" s="3" t="s">
        <v>12</v>
      </c>
      <c r="E12" s="67" t="s">
        <v>148</v>
      </c>
      <c r="F12" s="2">
        <v>15340.98</v>
      </c>
      <c r="G12" s="3" t="s">
        <v>12</v>
      </c>
      <c r="I12" s="3" t="s">
        <v>150</v>
      </c>
      <c r="J12" s="2">
        <v>43730.85</v>
      </c>
      <c r="K12" s="70" t="s">
        <v>12</v>
      </c>
      <c r="L12" s="70"/>
    </row>
    <row r="13" spans="1:12">
      <c r="B13" s="2"/>
      <c r="E13" s="67"/>
      <c r="F13" s="2"/>
      <c r="J13" s="2"/>
      <c r="K13" s="70"/>
      <c r="L13" s="70"/>
    </row>
    <row r="14" spans="1:12" ht="15.75">
      <c r="A14" s="3" t="s">
        <v>29</v>
      </c>
      <c r="J14" s="2">
        <f>G15+G16+G17+G18</f>
        <v>490202.6</v>
      </c>
      <c r="K14" s="79" t="s">
        <v>30</v>
      </c>
      <c r="L14" s="79"/>
    </row>
    <row r="15" spans="1:12">
      <c r="A15" s="38" t="s">
        <v>8</v>
      </c>
      <c r="B15" s="3" t="s">
        <v>9</v>
      </c>
      <c r="G15" s="39">
        <f>(J8*43.5/100)</f>
        <v>213238.13099999996</v>
      </c>
      <c r="H15" s="3" t="s">
        <v>12</v>
      </c>
      <c r="K15" s="72"/>
      <c r="L15" s="72"/>
    </row>
    <row r="16" spans="1:12">
      <c r="A16" s="38" t="s">
        <v>8</v>
      </c>
      <c r="B16" s="3" t="s">
        <v>10</v>
      </c>
      <c r="G16" s="39">
        <f>(J8*36.6/100)</f>
        <v>179414.15160000001</v>
      </c>
      <c r="H16" s="3" t="s">
        <v>12</v>
      </c>
      <c r="K16" s="72"/>
      <c r="L16" s="72"/>
    </row>
    <row r="17" spans="1:12">
      <c r="A17" s="38" t="s">
        <v>8</v>
      </c>
      <c r="B17" s="3" t="s">
        <v>11</v>
      </c>
      <c r="G17" s="39">
        <f>(J8*12.5/100)</f>
        <v>61275.324999999997</v>
      </c>
      <c r="H17" s="3" t="s">
        <v>12</v>
      </c>
      <c r="K17" s="80"/>
      <c r="L17" s="80"/>
    </row>
    <row r="18" spans="1:12">
      <c r="A18" s="38" t="s">
        <v>8</v>
      </c>
      <c r="B18" s="3" t="s">
        <v>16</v>
      </c>
      <c r="G18" s="39">
        <f>(J8*7.4/100)</f>
        <v>36274.992400000003</v>
      </c>
      <c r="H18" s="3" t="s">
        <v>12</v>
      </c>
      <c r="K18" s="72"/>
      <c r="L18" s="72"/>
    </row>
    <row r="19" spans="1:12">
      <c r="A19" s="38"/>
      <c r="G19" s="39"/>
      <c r="K19" s="32"/>
      <c r="L19" s="32"/>
    </row>
    <row r="20" spans="1:12">
      <c r="A20" s="40" t="s">
        <v>13</v>
      </c>
      <c r="G20" s="5">
        <f>E6*4.74*12/1.03</f>
        <v>296372.41165048548</v>
      </c>
      <c r="H20" s="3" t="s">
        <v>14</v>
      </c>
      <c r="K20" s="72"/>
      <c r="L20" s="72"/>
    </row>
    <row r="21" spans="1:12">
      <c r="A21" s="81">
        <f>G20*I7/100</f>
        <v>249271.56755684977</v>
      </c>
      <c r="B21" s="81"/>
      <c r="C21" s="3" t="s">
        <v>75</v>
      </c>
      <c r="K21" s="75"/>
      <c r="L21" s="75"/>
    </row>
    <row r="22" spans="1:12" ht="15.75" thickBot="1">
      <c r="A22" s="82" t="s">
        <v>86</v>
      </c>
      <c r="B22" s="82"/>
      <c r="C22" s="82"/>
      <c r="D22" s="82"/>
      <c r="E22" s="82"/>
      <c r="F22" s="82"/>
      <c r="G22" s="82"/>
      <c r="H22" s="82"/>
      <c r="I22" s="82"/>
      <c r="K22" s="4"/>
      <c r="L22" s="4"/>
    </row>
    <row r="23" spans="1:12">
      <c r="A23" s="41" t="s">
        <v>2</v>
      </c>
      <c r="B23" s="83" t="s">
        <v>22</v>
      </c>
      <c r="C23" s="84"/>
      <c r="D23" s="84"/>
      <c r="E23" s="84"/>
      <c r="F23" s="84"/>
      <c r="G23" s="84"/>
      <c r="H23" s="85"/>
      <c r="I23" s="41" t="s">
        <v>20</v>
      </c>
      <c r="J23" s="42" t="s">
        <v>19</v>
      </c>
      <c r="K23" s="83" t="s">
        <v>17</v>
      </c>
      <c r="L23" s="85"/>
    </row>
    <row r="24" spans="1:12" ht="15.75" thickBot="1">
      <c r="A24" s="43" t="s">
        <v>15</v>
      </c>
      <c r="B24" s="74"/>
      <c r="C24" s="75"/>
      <c r="D24" s="75"/>
      <c r="E24" s="75"/>
      <c r="F24" s="75"/>
      <c r="G24" s="75"/>
      <c r="H24" s="76"/>
      <c r="I24" s="43" t="s">
        <v>21</v>
      </c>
      <c r="J24" s="44"/>
      <c r="K24" s="77" t="s">
        <v>18</v>
      </c>
      <c r="L24" s="78"/>
    </row>
    <row r="25" spans="1:12" ht="15.75" thickBot="1">
      <c r="A25" s="46"/>
      <c r="B25" s="91" t="s">
        <v>112</v>
      </c>
      <c r="C25" s="92"/>
      <c r="D25" s="92"/>
      <c r="E25" s="92"/>
      <c r="F25" s="92"/>
      <c r="G25" s="92"/>
      <c r="H25" s="93"/>
      <c r="I25" s="46"/>
      <c r="J25" s="47"/>
      <c r="K25" s="94">
        <v>40049.25</v>
      </c>
      <c r="L25" s="95"/>
    </row>
    <row r="26" spans="1:12">
      <c r="A26" s="1">
        <v>1</v>
      </c>
      <c r="B26" s="99" t="s">
        <v>155</v>
      </c>
      <c r="C26" s="102"/>
      <c r="D26" s="102"/>
      <c r="E26" s="102"/>
      <c r="F26" s="102"/>
      <c r="G26" s="102"/>
      <c r="H26" s="102"/>
      <c r="I26" s="6" t="s">
        <v>156</v>
      </c>
      <c r="J26" s="1">
        <v>1.5694E-2</v>
      </c>
      <c r="K26" s="103">
        <v>-77515.03</v>
      </c>
      <c r="L26" s="104"/>
    </row>
    <row r="27" spans="1:12" ht="13.5" customHeight="1">
      <c r="A27" s="6">
        <v>2</v>
      </c>
      <c r="B27" s="99" t="s">
        <v>133</v>
      </c>
      <c r="C27" s="100"/>
      <c r="D27" s="100"/>
      <c r="E27" s="100"/>
      <c r="F27" s="100"/>
      <c r="G27" s="100"/>
      <c r="H27" s="101"/>
      <c r="I27" s="6" t="s">
        <v>89</v>
      </c>
      <c r="J27" s="55">
        <v>4</v>
      </c>
      <c r="K27" s="97">
        <v>3338</v>
      </c>
      <c r="L27" s="98"/>
    </row>
    <row r="28" spans="1:12" s="56" customFormat="1" ht="17.25">
      <c r="A28" s="6">
        <f>A27+1</f>
        <v>3</v>
      </c>
      <c r="B28" s="99" t="s">
        <v>134</v>
      </c>
      <c r="C28" s="100"/>
      <c r="D28" s="100"/>
      <c r="E28" s="100"/>
      <c r="F28" s="100"/>
      <c r="G28" s="100"/>
      <c r="H28" s="101"/>
      <c r="I28" s="12" t="s">
        <v>104</v>
      </c>
      <c r="J28" s="57">
        <v>870.3</v>
      </c>
      <c r="K28" s="97">
        <f>1500+530</f>
        <v>2030</v>
      </c>
      <c r="L28" s="98"/>
    </row>
    <row r="29" spans="1:12">
      <c r="A29" s="6">
        <f t="shared" ref="A29:A55" si="0">A28+1</f>
        <v>4</v>
      </c>
      <c r="B29" s="86" t="s">
        <v>135</v>
      </c>
      <c r="C29" s="96"/>
      <c r="D29" s="96"/>
      <c r="E29" s="96"/>
      <c r="F29" s="96"/>
      <c r="G29" s="96"/>
      <c r="H29" s="87"/>
      <c r="I29" s="54" t="s">
        <v>74</v>
      </c>
      <c r="J29" s="55">
        <v>1</v>
      </c>
      <c r="K29" s="97">
        <f>(27728+38838+9427.43+3600)*0.2305</f>
        <v>18346.285615000001</v>
      </c>
      <c r="L29" s="98"/>
    </row>
    <row r="30" spans="1:12">
      <c r="A30" s="6">
        <f t="shared" si="0"/>
        <v>5</v>
      </c>
      <c r="B30" s="86" t="s">
        <v>136</v>
      </c>
      <c r="C30" s="87"/>
      <c r="D30" s="87"/>
      <c r="E30" s="87"/>
      <c r="F30" s="87"/>
      <c r="G30" s="87"/>
      <c r="H30" s="88"/>
      <c r="I30" s="12" t="s">
        <v>74</v>
      </c>
      <c r="J30" s="13">
        <v>1</v>
      </c>
      <c r="K30" s="89">
        <f>250*0.2305</f>
        <v>57.625</v>
      </c>
      <c r="L30" s="90"/>
    </row>
    <row r="31" spans="1:12">
      <c r="A31" s="6">
        <f t="shared" si="0"/>
        <v>6</v>
      </c>
      <c r="B31" s="86" t="s">
        <v>137</v>
      </c>
      <c r="C31" s="87"/>
      <c r="D31" s="87"/>
      <c r="E31" s="87"/>
      <c r="F31" s="87"/>
      <c r="G31" s="87"/>
      <c r="H31" s="88"/>
      <c r="I31" s="12" t="s">
        <v>74</v>
      </c>
      <c r="J31" s="13"/>
      <c r="K31" s="89">
        <f>(16050+16272.03)*0.2305</f>
        <v>7450.2279150000004</v>
      </c>
      <c r="L31" s="90"/>
    </row>
    <row r="32" spans="1:12">
      <c r="A32" s="6">
        <f t="shared" si="0"/>
        <v>7</v>
      </c>
      <c r="B32" s="86" t="s">
        <v>138</v>
      </c>
      <c r="C32" s="87"/>
      <c r="D32" s="87"/>
      <c r="E32" s="87"/>
      <c r="F32" s="87"/>
      <c r="G32" s="87"/>
      <c r="H32" s="88"/>
      <c r="I32" s="12" t="s">
        <v>74</v>
      </c>
      <c r="J32" s="13">
        <v>155</v>
      </c>
      <c r="K32" s="89">
        <f>47850*0.2305</f>
        <v>11029.425000000001</v>
      </c>
      <c r="L32" s="90"/>
    </row>
    <row r="33" spans="1:12">
      <c r="A33" s="6">
        <f t="shared" si="0"/>
        <v>8</v>
      </c>
      <c r="B33" s="86" t="s">
        <v>139</v>
      </c>
      <c r="C33" s="87"/>
      <c r="D33" s="87"/>
      <c r="E33" s="87"/>
      <c r="F33" s="87"/>
      <c r="G33" s="87"/>
      <c r="H33" s="88"/>
      <c r="I33" s="12" t="s">
        <v>85</v>
      </c>
      <c r="J33" s="13">
        <v>6</v>
      </c>
      <c r="K33" s="89">
        <f>9600*0.2305</f>
        <v>2212.8000000000002</v>
      </c>
      <c r="L33" s="90"/>
    </row>
    <row r="34" spans="1:12">
      <c r="A34" s="6">
        <f t="shared" si="0"/>
        <v>9</v>
      </c>
      <c r="B34" s="86" t="s">
        <v>107</v>
      </c>
      <c r="C34" s="87"/>
      <c r="D34" s="87"/>
      <c r="E34" s="87"/>
      <c r="F34" s="87"/>
      <c r="G34" s="87"/>
      <c r="H34" s="88"/>
      <c r="I34" s="12" t="s">
        <v>105</v>
      </c>
      <c r="J34" s="13">
        <v>96</v>
      </c>
      <c r="K34" s="89">
        <f>22422.65*0.2305</f>
        <v>5168.4208250000001</v>
      </c>
      <c r="L34" s="90"/>
    </row>
    <row r="35" spans="1:12">
      <c r="A35" s="6">
        <f t="shared" si="0"/>
        <v>10</v>
      </c>
      <c r="B35" s="86" t="s">
        <v>108</v>
      </c>
      <c r="C35" s="87"/>
      <c r="D35" s="87"/>
      <c r="E35" s="87"/>
      <c r="F35" s="87"/>
      <c r="G35" s="87"/>
      <c r="H35" s="88"/>
      <c r="I35" s="12" t="s">
        <v>105</v>
      </c>
      <c r="J35" s="45">
        <v>64</v>
      </c>
      <c r="K35" s="105">
        <f>14948.48*0.2305</f>
        <v>3445.62464</v>
      </c>
      <c r="L35" s="106"/>
    </row>
    <row r="36" spans="1:12">
      <c r="A36" s="6">
        <f t="shared" si="0"/>
        <v>11</v>
      </c>
      <c r="B36" s="86" t="s">
        <v>109</v>
      </c>
      <c r="C36" s="87"/>
      <c r="D36" s="87"/>
      <c r="E36" s="87"/>
      <c r="F36" s="87"/>
      <c r="G36" s="87"/>
      <c r="H36" s="88"/>
      <c r="I36" s="12" t="s">
        <v>105</v>
      </c>
      <c r="J36" s="45">
        <v>40</v>
      </c>
      <c r="K36" s="105">
        <f>9342.77*0.2305</f>
        <v>2153.5084850000003</v>
      </c>
      <c r="L36" s="106"/>
    </row>
    <row r="37" spans="1:12">
      <c r="A37" s="6">
        <f t="shared" si="0"/>
        <v>12</v>
      </c>
      <c r="B37" s="99" t="s">
        <v>110</v>
      </c>
      <c r="C37" s="102"/>
      <c r="D37" s="102"/>
      <c r="E37" s="102"/>
      <c r="F37" s="102"/>
      <c r="G37" s="102"/>
      <c r="H37" s="107"/>
      <c r="I37" s="6" t="s">
        <v>74</v>
      </c>
      <c r="J37" s="45">
        <v>2</v>
      </c>
      <c r="K37" s="105">
        <v>287</v>
      </c>
      <c r="L37" s="106"/>
    </row>
    <row r="38" spans="1:12">
      <c r="A38" s="6">
        <f t="shared" si="0"/>
        <v>13</v>
      </c>
      <c r="B38" s="99" t="s">
        <v>140</v>
      </c>
      <c r="C38" s="102"/>
      <c r="D38" s="102"/>
      <c r="E38" s="102"/>
      <c r="F38" s="102"/>
      <c r="G38" s="102"/>
      <c r="H38" s="107"/>
      <c r="I38" s="51" t="s">
        <v>74</v>
      </c>
      <c r="J38" s="58">
        <v>2</v>
      </c>
      <c r="K38" s="105">
        <f>400*0.2305</f>
        <v>92.2</v>
      </c>
      <c r="L38" s="106"/>
    </row>
    <row r="39" spans="1:12">
      <c r="A39" s="6">
        <f t="shared" si="0"/>
        <v>14</v>
      </c>
      <c r="B39" s="99" t="s">
        <v>111</v>
      </c>
      <c r="C39" s="102"/>
      <c r="D39" s="102"/>
      <c r="E39" s="102"/>
      <c r="F39" s="102"/>
      <c r="G39" s="102"/>
      <c r="H39" s="107"/>
      <c r="I39" s="6" t="s">
        <v>74</v>
      </c>
      <c r="J39" s="6">
        <v>3</v>
      </c>
      <c r="K39" s="105">
        <f>26740*0.2305</f>
        <v>6163.5700000000006</v>
      </c>
      <c r="L39" s="106"/>
    </row>
    <row r="40" spans="1:12">
      <c r="A40" s="6">
        <f t="shared" si="0"/>
        <v>15</v>
      </c>
      <c r="B40" s="99" t="s">
        <v>141</v>
      </c>
      <c r="C40" s="102"/>
      <c r="D40" s="102"/>
      <c r="E40" s="102"/>
      <c r="F40" s="102"/>
      <c r="G40" s="102"/>
      <c r="H40" s="107"/>
      <c r="I40" s="6" t="s">
        <v>74</v>
      </c>
      <c r="J40" s="45">
        <v>1</v>
      </c>
      <c r="K40" s="105">
        <f>14000*0.2305</f>
        <v>3227</v>
      </c>
      <c r="L40" s="106"/>
    </row>
    <row r="41" spans="1:12">
      <c r="A41" s="6">
        <f t="shared" si="0"/>
        <v>16</v>
      </c>
      <c r="B41" s="99" t="s">
        <v>120</v>
      </c>
      <c r="C41" s="102"/>
      <c r="D41" s="102"/>
      <c r="E41" s="102"/>
      <c r="F41" s="102"/>
      <c r="G41" s="102"/>
      <c r="H41" s="107"/>
      <c r="I41" s="6" t="s">
        <v>89</v>
      </c>
      <c r="J41" s="52">
        <v>28</v>
      </c>
      <c r="K41" s="105">
        <f>(11140+18000)*0.2305</f>
        <v>6716.77</v>
      </c>
      <c r="L41" s="106"/>
    </row>
    <row r="42" spans="1:12">
      <c r="A42" s="6">
        <f t="shared" si="0"/>
        <v>17</v>
      </c>
      <c r="B42" s="99" t="s">
        <v>113</v>
      </c>
      <c r="C42" s="102"/>
      <c r="D42" s="102"/>
      <c r="E42" s="102"/>
      <c r="F42" s="102"/>
      <c r="G42" s="102"/>
      <c r="H42" s="102"/>
      <c r="I42" s="51" t="s">
        <v>74</v>
      </c>
      <c r="J42" s="58">
        <v>2</v>
      </c>
      <c r="K42" s="105">
        <f>380*2</f>
        <v>760</v>
      </c>
      <c r="L42" s="106"/>
    </row>
    <row r="43" spans="1:12">
      <c r="A43" s="6">
        <f t="shared" si="0"/>
        <v>18</v>
      </c>
      <c r="B43" s="99" t="s">
        <v>114</v>
      </c>
      <c r="C43" s="102"/>
      <c r="D43" s="102"/>
      <c r="E43" s="102"/>
      <c r="F43" s="102"/>
      <c r="G43" s="102"/>
      <c r="H43" s="102"/>
      <c r="I43" s="51" t="s">
        <v>74</v>
      </c>
      <c r="J43" s="58">
        <v>2</v>
      </c>
      <c r="K43" s="105">
        <f>250*2</f>
        <v>500</v>
      </c>
      <c r="L43" s="106"/>
    </row>
    <row r="44" spans="1:12">
      <c r="A44" s="6">
        <f t="shared" si="0"/>
        <v>19</v>
      </c>
      <c r="B44" s="99" t="s">
        <v>115</v>
      </c>
      <c r="C44" s="102"/>
      <c r="D44" s="102"/>
      <c r="E44" s="102"/>
      <c r="F44" s="102"/>
      <c r="G44" s="102"/>
      <c r="H44" s="107"/>
      <c r="I44" s="6" t="s">
        <v>74</v>
      </c>
      <c r="J44" s="58">
        <v>1</v>
      </c>
      <c r="K44" s="105">
        <f>4465+4000</f>
        <v>8465</v>
      </c>
      <c r="L44" s="106"/>
    </row>
    <row r="45" spans="1:12">
      <c r="A45" s="6">
        <f t="shared" si="0"/>
        <v>20</v>
      </c>
      <c r="B45" s="99" t="s">
        <v>116</v>
      </c>
      <c r="C45" s="102"/>
      <c r="D45" s="102"/>
      <c r="E45" s="102"/>
      <c r="F45" s="102"/>
      <c r="G45" s="102"/>
      <c r="H45" s="107"/>
      <c r="I45" s="12" t="s">
        <v>74</v>
      </c>
      <c r="J45" s="57">
        <v>2</v>
      </c>
      <c r="K45" s="89">
        <v>13000</v>
      </c>
      <c r="L45" s="90"/>
    </row>
    <row r="46" spans="1:12">
      <c r="A46" s="6">
        <f t="shared" si="0"/>
        <v>21</v>
      </c>
      <c r="B46" s="99" t="s">
        <v>130</v>
      </c>
      <c r="C46" s="102"/>
      <c r="D46" s="102"/>
      <c r="E46" s="102"/>
      <c r="F46" s="102"/>
      <c r="G46" s="102"/>
      <c r="H46" s="107"/>
      <c r="I46" s="12" t="s">
        <v>131</v>
      </c>
      <c r="J46" s="57">
        <v>1</v>
      </c>
      <c r="K46" s="89">
        <v>929.03</v>
      </c>
      <c r="L46" s="90"/>
    </row>
    <row r="47" spans="1:12">
      <c r="A47" s="6">
        <f t="shared" si="0"/>
        <v>22</v>
      </c>
      <c r="B47" s="99" t="s">
        <v>117</v>
      </c>
      <c r="C47" s="102"/>
      <c r="D47" s="102"/>
      <c r="E47" s="102"/>
      <c r="F47" s="102"/>
      <c r="G47" s="102"/>
      <c r="H47" s="107"/>
      <c r="I47" s="6" t="s">
        <v>74</v>
      </c>
      <c r="J47" s="58">
        <v>1</v>
      </c>
      <c r="K47" s="105">
        <v>18600</v>
      </c>
      <c r="L47" s="106"/>
    </row>
    <row r="48" spans="1:12">
      <c r="A48" s="6">
        <f t="shared" si="0"/>
        <v>23</v>
      </c>
      <c r="B48" s="99" t="s">
        <v>118</v>
      </c>
      <c r="C48" s="102"/>
      <c r="D48" s="102"/>
      <c r="E48" s="102"/>
      <c r="F48" s="102"/>
      <c r="G48" s="102"/>
      <c r="H48" s="107"/>
      <c r="I48" s="6" t="s">
        <v>74</v>
      </c>
      <c r="J48" s="58">
        <v>2</v>
      </c>
      <c r="K48" s="105">
        <v>1586</v>
      </c>
      <c r="L48" s="106"/>
    </row>
    <row r="49" spans="1:12">
      <c r="A49" s="6">
        <f t="shared" si="0"/>
        <v>24</v>
      </c>
      <c r="B49" s="86" t="s">
        <v>121</v>
      </c>
      <c r="C49" s="87"/>
      <c r="D49" s="87"/>
      <c r="E49" s="87"/>
      <c r="F49" s="87"/>
      <c r="G49" s="87"/>
      <c r="H49" s="88"/>
      <c r="I49" s="12" t="s">
        <v>119</v>
      </c>
      <c r="J49" s="57">
        <v>1</v>
      </c>
      <c r="K49" s="89">
        <f>1700*0.2305</f>
        <v>391.85</v>
      </c>
      <c r="L49" s="90"/>
    </row>
    <row r="50" spans="1:12">
      <c r="A50" s="6">
        <f t="shared" si="0"/>
        <v>25</v>
      </c>
      <c r="B50" s="86" t="s">
        <v>123</v>
      </c>
      <c r="C50" s="87"/>
      <c r="D50" s="87"/>
      <c r="E50" s="87"/>
      <c r="F50" s="87"/>
      <c r="G50" s="87"/>
      <c r="H50" s="88"/>
      <c r="I50" s="12" t="s">
        <v>122</v>
      </c>
      <c r="J50" s="57">
        <v>14</v>
      </c>
      <c r="K50" s="89">
        <f>42000*0.2305</f>
        <v>9681</v>
      </c>
      <c r="L50" s="90"/>
    </row>
    <row r="51" spans="1:12">
      <c r="A51" s="6">
        <f t="shared" si="0"/>
        <v>26</v>
      </c>
      <c r="B51" s="86" t="s">
        <v>142</v>
      </c>
      <c r="C51" s="87"/>
      <c r="D51" s="87"/>
      <c r="E51" s="87"/>
      <c r="F51" s="87"/>
      <c r="G51" s="87"/>
      <c r="H51" s="88"/>
      <c r="I51" s="12" t="s">
        <v>74</v>
      </c>
      <c r="J51" s="57">
        <v>79</v>
      </c>
      <c r="K51" s="89">
        <f>5200*0.2305</f>
        <v>1198.6000000000001</v>
      </c>
      <c r="L51" s="90"/>
    </row>
    <row r="52" spans="1:12">
      <c r="A52" s="6">
        <f t="shared" si="0"/>
        <v>27</v>
      </c>
      <c r="B52" s="86" t="s">
        <v>128</v>
      </c>
      <c r="C52" s="87"/>
      <c r="D52" s="87"/>
      <c r="E52" s="87"/>
      <c r="F52" s="87"/>
      <c r="G52" s="87"/>
      <c r="H52" s="88"/>
      <c r="I52" s="12" t="s">
        <v>127</v>
      </c>
      <c r="J52" s="57" t="s">
        <v>127</v>
      </c>
      <c r="K52" s="89">
        <f>8165*0.2305</f>
        <v>1882.0325</v>
      </c>
      <c r="L52" s="90"/>
    </row>
    <row r="53" spans="1:12">
      <c r="A53" s="6">
        <f t="shared" si="0"/>
        <v>28</v>
      </c>
      <c r="B53" s="116" t="s">
        <v>129</v>
      </c>
      <c r="C53" s="117"/>
      <c r="D53" s="117"/>
      <c r="E53" s="117"/>
      <c r="F53" s="117"/>
      <c r="G53" s="117"/>
      <c r="H53" s="118"/>
      <c r="I53" s="6" t="s">
        <v>74</v>
      </c>
      <c r="J53" s="58">
        <v>2</v>
      </c>
      <c r="K53" s="105">
        <v>90</v>
      </c>
      <c r="L53" s="106"/>
    </row>
    <row r="54" spans="1:12">
      <c r="A54" s="6">
        <f t="shared" si="0"/>
        <v>29</v>
      </c>
      <c r="B54" s="63" t="s">
        <v>152</v>
      </c>
      <c r="C54" s="64"/>
      <c r="D54" s="64"/>
      <c r="E54" s="64"/>
      <c r="F54" s="64"/>
      <c r="G54" s="64"/>
      <c r="H54" s="64"/>
      <c r="I54" s="6" t="s">
        <v>153</v>
      </c>
      <c r="J54" s="60">
        <v>4</v>
      </c>
      <c r="K54" s="105">
        <v>2524</v>
      </c>
      <c r="L54" s="106"/>
    </row>
    <row r="55" spans="1:12">
      <c r="A55" s="6">
        <f t="shared" si="0"/>
        <v>30</v>
      </c>
      <c r="B55" s="99" t="s">
        <v>154</v>
      </c>
      <c r="C55" s="102"/>
      <c r="D55" s="102"/>
      <c r="E55" s="102"/>
      <c r="F55" s="102"/>
      <c r="G55" s="102"/>
      <c r="H55" s="107"/>
      <c r="I55" s="6" t="s">
        <v>74</v>
      </c>
      <c r="J55" s="52">
        <v>2</v>
      </c>
      <c r="K55" s="103">
        <v>100</v>
      </c>
      <c r="L55" s="104"/>
    </row>
    <row r="56" spans="1:12">
      <c r="A56" s="12"/>
      <c r="B56" s="86" t="s">
        <v>124</v>
      </c>
      <c r="C56" s="87"/>
      <c r="D56" s="87"/>
      <c r="E56" s="87"/>
      <c r="F56" s="87"/>
      <c r="G56" s="87"/>
      <c r="H56" s="87"/>
      <c r="I56" s="12"/>
      <c r="J56" s="22"/>
      <c r="K56" s="110">
        <f>SUM(K27:L55)</f>
        <v>131425.96997999999</v>
      </c>
      <c r="L56" s="111"/>
    </row>
    <row r="57" spans="1:12">
      <c r="A57" s="12"/>
      <c r="B57" s="86" t="s">
        <v>90</v>
      </c>
      <c r="C57" s="87"/>
      <c r="D57" s="87"/>
      <c r="E57" s="87"/>
      <c r="F57" s="87"/>
      <c r="G57" s="87"/>
      <c r="H57" s="87"/>
      <c r="I57" s="12"/>
      <c r="J57" s="22"/>
      <c r="K57" s="112">
        <f>K56*0.14</f>
        <v>18399.635797200001</v>
      </c>
      <c r="L57" s="113"/>
    </row>
    <row r="58" spans="1:12" ht="15.75" thickBot="1">
      <c r="A58" s="12"/>
      <c r="B58" s="7" t="s">
        <v>125</v>
      </c>
      <c r="C58" s="7"/>
      <c r="D58" s="7"/>
      <c r="E58" s="7"/>
      <c r="F58" s="7"/>
      <c r="G58" s="7"/>
      <c r="H58" s="7"/>
      <c r="I58" s="14"/>
      <c r="J58" s="7"/>
      <c r="K58" s="114">
        <f>SUM(K56:L57)</f>
        <v>149825.60577719999</v>
      </c>
      <c r="L58" s="115"/>
    </row>
    <row r="59" spans="1:12" ht="16.5" thickBot="1">
      <c r="A59" s="15"/>
      <c r="B59" s="16" t="s">
        <v>126</v>
      </c>
      <c r="C59" s="17"/>
      <c r="D59" s="17"/>
      <c r="E59" s="17"/>
      <c r="F59" s="17"/>
      <c r="G59" s="17"/>
      <c r="H59" s="18"/>
      <c r="I59" s="15"/>
      <c r="J59" s="15"/>
      <c r="K59" s="108">
        <f>K58+K25+K26</f>
        <v>112359.82577719999</v>
      </c>
      <c r="L59" s="109"/>
    </row>
    <row r="60" spans="1:12">
      <c r="A60" s="3" t="s">
        <v>23</v>
      </c>
    </row>
    <row r="61" spans="1:12">
      <c r="A61" s="3" t="s">
        <v>88</v>
      </c>
      <c r="D61" s="66">
        <f>H4</f>
        <v>2014</v>
      </c>
      <c r="E61" s="3" t="s">
        <v>24</v>
      </c>
      <c r="G61" s="5">
        <f>K59-G20</f>
        <v>-184012.58587328548</v>
      </c>
      <c r="H61" s="3" t="s">
        <v>25</v>
      </c>
    </row>
    <row r="62" spans="1:12" ht="15.75" thickBot="1">
      <c r="A62" s="7" t="s">
        <v>26</v>
      </c>
      <c r="B62" s="65">
        <f>H4</f>
        <v>2014</v>
      </c>
      <c r="C62" s="7" t="s">
        <v>28</v>
      </c>
      <c r="D62" s="7"/>
      <c r="E62" s="7"/>
      <c r="F62" s="7"/>
      <c r="G62" s="7"/>
      <c r="H62" s="7"/>
      <c r="I62" s="7"/>
      <c r="J62" s="7"/>
      <c r="K62" s="7"/>
      <c r="L62" s="7"/>
    </row>
    <row r="63" spans="1:12">
      <c r="A63" s="23" t="s">
        <v>2</v>
      </c>
      <c r="B63" s="125" t="s">
        <v>37</v>
      </c>
      <c r="C63" s="126"/>
      <c r="D63" s="126"/>
      <c r="E63" s="127"/>
      <c r="F63" s="125" t="s">
        <v>38</v>
      </c>
      <c r="G63" s="126"/>
      <c r="H63" s="127"/>
      <c r="I63" s="128" t="s">
        <v>39</v>
      </c>
      <c r="J63" s="129"/>
      <c r="K63" s="129"/>
      <c r="L63" s="130"/>
    </row>
    <row r="64" spans="1:12" ht="15.75" thickBot="1">
      <c r="A64" s="24"/>
      <c r="B64" s="131"/>
      <c r="C64" s="132"/>
      <c r="D64" s="132"/>
      <c r="E64" s="133"/>
      <c r="F64" s="131"/>
      <c r="G64" s="132"/>
      <c r="H64" s="133"/>
      <c r="I64" s="134" t="s">
        <v>77</v>
      </c>
      <c r="J64" s="135"/>
      <c r="K64" s="135"/>
      <c r="L64" s="136"/>
    </row>
    <row r="65" spans="1:12">
      <c r="A65" s="61" t="s">
        <v>31</v>
      </c>
      <c r="B65" s="119" t="s">
        <v>40</v>
      </c>
      <c r="C65" s="120"/>
      <c r="D65" s="120"/>
      <c r="E65" s="121"/>
      <c r="F65" s="122" t="s">
        <v>151</v>
      </c>
      <c r="G65" s="123"/>
      <c r="H65" s="124"/>
      <c r="I65" s="122" t="s">
        <v>98</v>
      </c>
      <c r="J65" s="123"/>
      <c r="K65" s="123"/>
      <c r="L65" s="124"/>
    </row>
    <row r="66" spans="1:12">
      <c r="A66" s="6" t="s">
        <v>32</v>
      </c>
      <c r="B66" s="99" t="s">
        <v>41</v>
      </c>
      <c r="C66" s="102"/>
      <c r="D66" s="102"/>
      <c r="E66" s="107"/>
      <c r="F66" s="74" t="s">
        <v>78</v>
      </c>
      <c r="G66" s="75"/>
      <c r="H66" s="76"/>
      <c r="I66" s="74" t="s">
        <v>46</v>
      </c>
      <c r="J66" s="75"/>
      <c r="K66" s="75"/>
      <c r="L66" s="76"/>
    </row>
    <row r="67" spans="1:12">
      <c r="A67" s="6" t="s">
        <v>33</v>
      </c>
      <c r="B67" s="99" t="s">
        <v>42</v>
      </c>
      <c r="C67" s="102"/>
      <c r="D67" s="102"/>
      <c r="E67" s="107"/>
      <c r="F67" s="74" t="s">
        <v>99</v>
      </c>
      <c r="G67" s="75"/>
      <c r="H67" s="76"/>
      <c r="I67" s="74" t="s">
        <v>100</v>
      </c>
      <c r="J67" s="75"/>
      <c r="K67" s="75"/>
      <c r="L67" s="76"/>
    </row>
    <row r="68" spans="1:12">
      <c r="A68" s="6" t="s">
        <v>34</v>
      </c>
      <c r="B68" s="99" t="s">
        <v>43</v>
      </c>
      <c r="C68" s="102"/>
      <c r="D68" s="102"/>
      <c r="E68" s="107"/>
      <c r="F68" s="74" t="s">
        <v>47</v>
      </c>
      <c r="G68" s="75"/>
      <c r="H68" s="76"/>
      <c r="I68" s="74" t="s">
        <v>91</v>
      </c>
      <c r="J68" s="75"/>
      <c r="K68" s="75"/>
      <c r="L68" s="76"/>
    </row>
    <row r="69" spans="1:12">
      <c r="A69" s="6" t="s">
        <v>35</v>
      </c>
      <c r="B69" s="99" t="s">
        <v>44</v>
      </c>
      <c r="C69" s="102"/>
      <c r="D69" s="102"/>
      <c r="E69" s="107"/>
      <c r="F69" s="74" t="s">
        <v>101</v>
      </c>
      <c r="G69" s="75"/>
      <c r="H69" s="76"/>
      <c r="I69" s="74" t="s">
        <v>92</v>
      </c>
      <c r="J69" s="75"/>
      <c r="K69" s="75"/>
      <c r="L69" s="76"/>
    </row>
    <row r="70" spans="1:12" ht="15.75" thickBot="1">
      <c r="A70" s="62" t="s">
        <v>36</v>
      </c>
      <c r="B70" s="137" t="s">
        <v>45</v>
      </c>
      <c r="C70" s="82"/>
      <c r="D70" s="82"/>
      <c r="E70" s="138"/>
      <c r="F70" s="139" t="s">
        <v>102</v>
      </c>
      <c r="G70" s="140"/>
      <c r="H70" s="141"/>
      <c r="I70" s="139" t="s">
        <v>93</v>
      </c>
      <c r="J70" s="140"/>
      <c r="K70" s="140"/>
      <c r="L70" s="141"/>
    </row>
    <row r="71" spans="1:12">
      <c r="A71" s="25" t="s">
        <v>97</v>
      </c>
      <c r="B71" s="65">
        <f>H4+1</f>
        <v>2015</v>
      </c>
      <c r="C71" s="7" t="s">
        <v>52</v>
      </c>
      <c r="D71" s="7"/>
      <c r="E71" s="7"/>
      <c r="F71" s="7"/>
      <c r="G71" s="7"/>
      <c r="H71" s="7"/>
      <c r="I71" s="7"/>
      <c r="J71" s="26"/>
      <c r="K71" s="26"/>
      <c r="L71" s="26"/>
    </row>
    <row r="72" spans="1:12">
      <c r="A72" s="49" t="s">
        <v>48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>
      <c r="A73" s="49" t="s">
        <v>49</v>
      </c>
      <c r="B73" s="7"/>
      <c r="C73" s="7"/>
      <c r="D73" s="7"/>
      <c r="E73" s="7"/>
      <c r="F73" s="11">
        <f>H90</f>
        <v>-0.44273101713754753</v>
      </c>
      <c r="G73" s="7" t="s">
        <v>50</v>
      </c>
      <c r="H73" s="7"/>
      <c r="I73" s="7"/>
      <c r="J73" s="7"/>
      <c r="K73" s="7"/>
      <c r="L73" s="7"/>
    </row>
    <row r="74" spans="1:12">
      <c r="A74" s="49" t="s">
        <v>51</v>
      </c>
      <c r="B74" s="7"/>
      <c r="C74" s="7"/>
      <c r="D74" s="7"/>
      <c r="E74" s="65" t="s">
        <v>94</v>
      </c>
      <c r="F74" s="7" t="s">
        <v>53</v>
      </c>
      <c r="G74" s="7"/>
      <c r="H74" s="7"/>
      <c r="I74" s="7"/>
      <c r="J74" s="7"/>
      <c r="K74" s="50">
        <v>2013</v>
      </c>
      <c r="L74" s="7" t="s">
        <v>54</v>
      </c>
    </row>
    <row r="75" spans="1:12">
      <c r="A75" s="49" t="s">
        <v>55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>
      <c r="A76" s="49" t="s">
        <v>81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>
      <c r="A77" s="49" t="s">
        <v>95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>
      <c r="A78" s="49" t="s">
        <v>82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2">
      <c r="A79" s="48" t="s">
        <v>84</v>
      </c>
      <c r="B79" s="65">
        <f>H4+1</f>
        <v>2015</v>
      </c>
      <c r="C79" s="3" t="s">
        <v>56</v>
      </c>
    </row>
    <row r="80" spans="1:12">
      <c r="A80" s="19" t="s">
        <v>57</v>
      </c>
    </row>
    <row r="81" spans="1:12">
      <c r="A81" s="19" t="s">
        <v>58</v>
      </c>
      <c r="J81" s="2">
        <v>9500</v>
      </c>
      <c r="K81" s="3" t="s">
        <v>12</v>
      </c>
    </row>
    <row r="82" spans="1:12">
      <c r="A82" s="19" t="s">
        <v>59</v>
      </c>
      <c r="J82" s="2">
        <v>1000</v>
      </c>
      <c r="K82" s="3" t="s">
        <v>12</v>
      </c>
    </row>
    <row r="83" spans="1:12">
      <c r="A83" s="19" t="s">
        <v>60</v>
      </c>
      <c r="J83" s="2">
        <v>30000</v>
      </c>
      <c r="K83" s="3" t="s">
        <v>12</v>
      </c>
    </row>
    <row r="84" spans="1:12">
      <c r="A84" s="19" t="s">
        <v>61</v>
      </c>
      <c r="J84" s="2">
        <v>15000</v>
      </c>
      <c r="K84" s="3" t="s">
        <v>12</v>
      </c>
    </row>
    <row r="85" spans="1:12">
      <c r="A85" s="19" t="s">
        <v>62</v>
      </c>
      <c r="J85" s="2">
        <v>40000</v>
      </c>
      <c r="K85" s="3" t="s">
        <v>12</v>
      </c>
    </row>
    <row r="86" spans="1:12">
      <c r="A86" s="19" t="s">
        <v>63</v>
      </c>
      <c r="J86" s="2">
        <v>30000</v>
      </c>
      <c r="K86" s="3" t="s">
        <v>12</v>
      </c>
    </row>
    <row r="87" spans="1:12">
      <c r="A87" s="19" t="s">
        <v>79</v>
      </c>
      <c r="J87" s="2">
        <v>30000</v>
      </c>
      <c r="K87" s="3" t="s">
        <v>12</v>
      </c>
    </row>
    <row r="88" spans="1:12">
      <c r="A88" s="27" t="s">
        <v>64</v>
      </c>
      <c r="B88" s="7"/>
      <c r="C88" s="7"/>
      <c r="D88" s="7"/>
      <c r="E88" s="7"/>
      <c r="F88" s="7"/>
      <c r="G88" s="7"/>
      <c r="H88" s="7"/>
      <c r="I88" s="7"/>
      <c r="J88" s="8">
        <f>SUM(J81:J87)</f>
        <v>155500</v>
      </c>
      <c r="K88" s="21" t="s">
        <v>65</v>
      </c>
      <c r="L88" s="7"/>
    </row>
    <row r="89" spans="1:12">
      <c r="A89" s="49" t="s">
        <v>103</v>
      </c>
      <c r="B89" s="7"/>
      <c r="C89" s="7"/>
      <c r="D89" s="7"/>
      <c r="E89" s="7"/>
      <c r="F89" s="7"/>
      <c r="G89" s="7"/>
      <c r="H89" s="65">
        <f>H4</f>
        <v>2014</v>
      </c>
      <c r="I89" s="7" t="s">
        <v>73</v>
      </c>
      <c r="J89" s="7"/>
      <c r="K89" s="8">
        <f>G61</f>
        <v>-184012.58587328548</v>
      </c>
      <c r="L89" s="7"/>
    </row>
    <row r="90" spans="1:12">
      <c r="A90" s="49" t="s">
        <v>66</v>
      </c>
      <c r="B90" s="7"/>
      <c r="C90" s="9">
        <f>J88+K89</f>
        <v>-28512.585873285483</v>
      </c>
      <c r="D90" s="65" t="s">
        <v>67</v>
      </c>
      <c r="E90" s="10">
        <v>2013</v>
      </c>
      <c r="F90" s="7" t="s">
        <v>69</v>
      </c>
      <c r="G90" s="7"/>
      <c r="H90" s="11">
        <f>C90/(E6*12)</f>
        <v>-0.44273101713754753</v>
      </c>
      <c r="I90" s="7" t="s">
        <v>70</v>
      </c>
      <c r="J90" s="7"/>
      <c r="K90" s="7"/>
      <c r="L90" s="7"/>
    </row>
    <row r="91" spans="1:12">
      <c r="A91" s="7"/>
      <c r="B91" s="7" t="s">
        <v>71</v>
      </c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1:12">
      <c r="A92" s="7"/>
      <c r="B92" s="7" t="s">
        <v>38</v>
      </c>
      <c r="C92" s="7"/>
      <c r="D92" s="7"/>
      <c r="E92" s="7"/>
      <c r="F92" s="7"/>
      <c r="G92" s="7"/>
      <c r="H92" s="7"/>
      <c r="I92" s="7" t="s">
        <v>72</v>
      </c>
      <c r="J92" s="7"/>
      <c r="K92" s="20" t="s">
        <v>106</v>
      </c>
      <c r="L92" s="7"/>
    </row>
  </sheetData>
  <mergeCells count="117">
    <mergeCell ref="B69:E69"/>
    <mergeCell ref="F69:H69"/>
    <mergeCell ref="I69:L69"/>
    <mergeCell ref="B70:E70"/>
    <mergeCell ref="F70:H70"/>
    <mergeCell ref="I70:L70"/>
    <mergeCell ref="B67:E67"/>
    <mergeCell ref="F67:H67"/>
    <mergeCell ref="I67:L67"/>
    <mergeCell ref="B68:E68"/>
    <mergeCell ref="F68:H68"/>
    <mergeCell ref="I68:L68"/>
    <mergeCell ref="B65:E65"/>
    <mergeCell ref="F65:H65"/>
    <mergeCell ref="I65:L65"/>
    <mergeCell ref="B66:E66"/>
    <mergeCell ref="F66:H66"/>
    <mergeCell ref="I66:L66"/>
    <mergeCell ref="B63:E63"/>
    <mergeCell ref="F63:H63"/>
    <mergeCell ref="I63:L63"/>
    <mergeCell ref="B64:E64"/>
    <mergeCell ref="F64:H64"/>
    <mergeCell ref="I64:L64"/>
    <mergeCell ref="K59:L59"/>
    <mergeCell ref="B56:H56"/>
    <mergeCell ref="K56:L56"/>
    <mergeCell ref="B57:H57"/>
    <mergeCell ref="K57:L57"/>
    <mergeCell ref="K58:L58"/>
    <mergeCell ref="B52:H52"/>
    <mergeCell ref="K52:L52"/>
    <mergeCell ref="B53:H53"/>
    <mergeCell ref="K53:L53"/>
    <mergeCell ref="K54:L54"/>
    <mergeCell ref="B55:H55"/>
    <mergeCell ref="K55:L55"/>
    <mergeCell ref="B49:H49"/>
    <mergeCell ref="K49:L49"/>
    <mergeCell ref="B50:H50"/>
    <mergeCell ref="K50:L50"/>
    <mergeCell ref="B51:H51"/>
    <mergeCell ref="K51:L51"/>
    <mergeCell ref="B45:H45"/>
    <mergeCell ref="K45:L45"/>
    <mergeCell ref="B47:H47"/>
    <mergeCell ref="K47:L47"/>
    <mergeCell ref="B48:H48"/>
    <mergeCell ref="K48:L48"/>
    <mergeCell ref="B46:H46"/>
    <mergeCell ref="K46:L46"/>
    <mergeCell ref="B42:H42"/>
    <mergeCell ref="K42:L42"/>
    <mergeCell ref="B43:H43"/>
    <mergeCell ref="K43:L43"/>
    <mergeCell ref="B44:H44"/>
    <mergeCell ref="K44:L44"/>
    <mergeCell ref="B39:H39"/>
    <mergeCell ref="K39:L39"/>
    <mergeCell ref="B40:H40"/>
    <mergeCell ref="K40:L40"/>
    <mergeCell ref="B41:H41"/>
    <mergeCell ref="K41:L41"/>
    <mergeCell ref="B36:H36"/>
    <mergeCell ref="K36:L36"/>
    <mergeCell ref="B37:H37"/>
    <mergeCell ref="K37:L37"/>
    <mergeCell ref="B38:H38"/>
    <mergeCell ref="K38:L38"/>
    <mergeCell ref="B33:H33"/>
    <mergeCell ref="K33:L33"/>
    <mergeCell ref="B34:H34"/>
    <mergeCell ref="K34:L34"/>
    <mergeCell ref="B35:H35"/>
    <mergeCell ref="K35:L35"/>
    <mergeCell ref="B31:H31"/>
    <mergeCell ref="K31:L31"/>
    <mergeCell ref="B32:H32"/>
    <mergeCell ref="K32:L32"/>
    <mergeCell ref="B25:H25"/>
    <mergeCell ref="K25:L25"/>
    <mergeCell ref="B29:H29"/>
    <mergeCell ref="K29:L29"/>
    <mergeCell ref="B30:H30"/>
    <mergeCell ref="K30:L30"/>
    <mergeCell ref="B27:H27"/>
    <mergeCell ref="B28:H28"/>
    <mergeCell ref="K27:L27"/>
    <mergeCell ref="K28:L28"/>
    <mergeCell ref="B26:H26"/>
    <mergeCell ref="K26:L26"/>
    <mergeCell ref="B24:H24"/>
    <mergeCell ref="K24:L24"/>
    <mergeCell ref="K14:L14"/>
    <mergeCell ref="K15:L15"/>
    <mergeCell ref="K16:L16"/>
    <mergeCell ref="K17:L17"/>
    <mergeCell ref="K18:L18"/>
    <mergeCell ref="K20:L20"/>
    <mergeCell ref="A21:B21"/>
    <mergeCell ref="K21:L21"/>
    <mergeCell ref="A22:I22"/>
    <mergeCell ref="B23:H23"/>
    <mergeCell ref="K23:L23"/>
    <mergeCell ref="J1:K1"/>
    <mergeCell ref="K13:L13"/>
    <mergeCell ref="A2:L2"/>
    <mergeCell ref="A3:L3"/>
    <mergeCell ref="C5:J5"/>
    <mergeCell ref="K6:L6"/>
    <mergeCell ref="A7:B7"/>
    <mergeCell ref="K7:L7"/>
    <mergeCell ref="K8:L8"/>
    <mergeCell ref="K9:L9"/>
    <mergeCell ref="K10:L10"/>
    <mergeCell ref="K11:L11"/>
    <mergeCell ref="K12:L1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2015-03-26T06:39:24Z</dcterms:modified>
</cp:coreProperties>
</file>