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4" i="1"/>
  <c r="J93"/>
  <c r="B82"/>
  <c r="B71"/>
  <c r="B62"/>
  <c r="D61"/>
  <c r="K55"/>
  <c r="K54"/>
  <c r="K53"/>
  <c r="K52"/>
  <c r="J52"/>
  <c r="K50"/>
  <c r="K49"/>
  <c r="K48"/>
  <c r="K46"/>
  <c r="K44"/>
  <c r="K42"/>
  <c r="K41"/>
  <c r="K40"/>
  <c r="J40"/>
  <c r="K37"/>
  <c r="K36"/>
  <c r="K33"/>
  <c r="K31"/>
  <c r="K28"/>
  <c r="K26"/>
  <c r="K56" s="1"/>
  <c r="J24"/>
  <c r="G19"/>
  <c r="G17"/>
  <c r="G15"/>
  <c r="G14"/>
  <c r="J13" s="1"/>
  <c r="J7"/>
  <c r="G16" s="1"/>
  <c r="G6"/>
  <c r="I6" s="1"/>
  <c r="E5"/>
  <c r="B5"/>
  <c r="K57" l="1"/>
  <c r="K58" s="1"/>
  <c r="K59" s="1"/>
  <c r="G61" s="1"/>
  <c r="K94" s="1"/>
  <c r="C95" s="1"/>
  <c r="H95" s="1"/>
  <c r="F73" s="1"/>
  <c r="A20"/>
</calcChain>
</file>

<file path=xl/sharedStrings.xml><?xml version="1.0" encoding="utf-8"?>
<sst xmlns="http://schemas.openxmlformats.org/spreadsheetml/2006/main" count="208" uniqueCount="159">
  <si>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</si>
  <si>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</si>
  <si>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</si>
  <si>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по мкр.  Юбилейный  за </t>
  </si>
  <si>
    <t>год</t>
  </si>
  <si>
    <t xml:space="preserve">1.   В </t>
  </si>
  <si>
    <t xml:space="preserve">   по дому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</si>
  <si>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</si>
  <si>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</si>
  <si>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рублей             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</si>
  <si>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</si>
  <si>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</si>
  <si>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</si>
  <si>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</si>
  <si>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r>
      <t>кв.</t>
    </r>
    <r>
      <rPr>
        <b/>
        <sz val="11"/>
        <rFont val="Calibri"/>
        <family val="2"/>
        <charset val="204"/>
        <scheme val="minor"/>
      </rPr>
      <t xml:space="preserve"> 11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</si>
  <si>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</si>
  <si>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t xml:space="preserve">кв. </t>
    </r>
    <r>
      <rPr>
        <b/>
        <sz val="11"/>
        <rFont val="Calibri"/>
        <family val="2"/>
        <charset val="204"/>
        <scheme val="minor"/>
      </rPr>
      <t>53</t>
    </r>
    <r>
      <rPr>
        <sz val="11"/>
        <rFont val="Calibri"/>
        <family val="2"/>
        <charset val="204"/>
        <scheme val="minor"/>
      </rPr>
      <t xml:space="preserve">-    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</si>
  <si>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99 -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</si>
  <si>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23</t>
    </r>
    <r>
      <rPr>
        <sz val="1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</si>
  <si>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68 -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</si>
  <si>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104 -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</si>
  <si>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49</t>
    </r>
    <r>
      <rPr>
        <sz val="11"/>
        <rFont val="Calibri"/>
        <family val="2"/>
        <charset val="204"/>
        <scheme val="minor"/>
      </rPr>
      <t xml:space="preserve">-                  </t>
    </r>
  </si>
  <si>
    <r>
      <t>кв.</t>
    </r>
    <r>
      <rPr>
        <b/>
        <sz val="11"/>
        <rFont val="Calibri"/>
        <family val="2"/>
        <charset val="204"/>
        <scheme val="minor"/>
      </rPr>
      <t xml:space="preserve"> 88 -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</si>
  <si>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107 -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</si>
  <si>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</si>
  <si>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</si>
  <si>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</si>
  <si>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</si>
  <si>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</si>
  <si>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</si>
  <si>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</si>
  <si>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</si>
  <si>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</si>
  <si>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</si>
  <si>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</si>
  <si>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</si>
  <si>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</si>
  <si>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</si>
  <si>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</si>
  <si>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</si>
  <si>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</si>
  <si>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2011-2012 г.г.</t>
  </si>
  <si>
    <t>Установка замков на двери  РУ - 6кВ, РУ - 0,4 кВ в ТП № 3182</t>
  </si>
  <si>
    <t>шт.</t>
  </si>
  <si>
    <t>Устройство душевой кабины</t>
  </si>
  <si>
    <t>шт</t>
  </si>
  <si>
    <t>Изготовление информационных досок в ИТП.</t>
  </si>
  <si>
    <t>Покраска бордюр, разметка.</t>
  </si>
  <si>
    <t>м</t>
  </si>
  <si>
    <t>Переносные ограждения.</t>
  </si>
  <si>
    <t>Табличка в лифт "Дежурный лифтер" (взамен украденной).</t>
  </si>
  <si>
    <t>Изготовление парковочных столбиков.</t>
  </si>
  <si>
    <t>Покраска  мусорных контейнеров</t>
  </si>
  <si>
    <t>Замена и монтаж ковровых и пластиковых дорожек на 1 этаже</t>
  </si>
  <si>
    <t>Ремонт наружного освещения: замена ламп ДНАТ (услуги автовышки).</t>
  </si>
  <si>
    <t>Генеральная уборка (вынос мусора) в мае.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</si>
  <si>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</si>
  <si>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Генеральная уборка подъездов в апреле.</t>
  </si>
  <si>
    <r>
      <t>м</t>
    </r>
    <r>
      <rPr>
        <vertAlign val="superscript"/>
        <sz val="1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</si>
  <si>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t>Вывоз строительного негабаритного мусора в апреле(9,7%).</t>
  </si>
  <si>
    <t>м3</t>
  </si>
  <si>
    <t>Вывоз снега с придомовой территории в марте.</t>
  </si>
  <si>
    <t>м/час</t>
  </si>
  <si>
    <t>Монтаж и изготовление металлических столбов для ограждения.</t>
  </si>
  <si>
    <t>Ремонт фасада (замена отвалившейся плитки) на 14 этаже кв№125.</t>
  </si>
  <si>
    <t>Благоустройство территории (завоз и распределение чернозема для газонов) (50%)</t>
  </si>
  <si>
    <t>т</t>
  </si>
  <si>
    <t>Благоустройство детской площадки (устр.-во входа для въезда колясок, велосипедов).</t>
  </si>
  <si>
    <t>Благоустройство придомовой территории (кустарники и деревья).</t>
  </si>
  <si>
    <t>Ремонт освещ. в подъезде (замена свет.-ков, уст.-ка стекол на светильники).</t>
  </si>
  <si>
    <t>Ремонт освещ. в подъездах (замена выключат., патрона, основан. светильника).</t>
  </si>
  <si>
    <t>Монтаж информационных стендов.</t>
  </si>
  <si>
    <t>Монтаж дополнительного освещения в подвале.</t>
  </si>
  <si>
    <t>Укладка тротуарной плитки около дома.</t>
  </si>
  <si>
    <t>Наклейки - обозначения в ИТП.</t>
  </si>
  <si>
    <t>Вывоз строительного и негабаритного мусора в октябре (9,7%).</t>
  </si>
  <si>
    <r>
      <t>м</t>
    </r>
    <r>
      <rPr>
        <sz val="11"/>
        <rFont val="Calibri"/>
        <family val="2"/>
        <charset val="204"/>
      </rPr>
      <t>³</t>
    </r>
  </si>
  <si>
    <t>Вывоз строительного и негабаритного мусора в ноябре (9,7%).</t>
  </si>
  <si>
    <t>Изготовление знака: "Парковка"</t>
  </si>
  <si>
    <t>Уборка и вывоз снега с  придомовой территории (35,37%).</t>
  </si>
  <si>
    <t>маш/час</t>
  </si>
  <si>
    <t>Ежегодное  тех. освидетельствование лифтов</t>
  </si>
  <si>
    <t>Генеральная уборка подъездов 1,2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</si>
  <si>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</si>
  <si>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</si>
  <si>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</si>
  <si>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</si>
  <si>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</si>
  <si>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</si>
  <si>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</si>
  <si>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</si>
  <si>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</si>
  <si>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</si>
  <si>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</si>
  <si>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</si>
  <si>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</si>
  <si>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</si>
  <si>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</si>
  <si>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</si>
  <si>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</si>
  <si>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 руб./м</t>
    </r>
    <r>
      <rPr>
        <sz val="1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</si>
  <si>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</si>
  <si>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</si>
  <si>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</si>
  <si>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rFont val="Calibri"/>
        <family val="2"/>
        <charset val="204"/>
      </rPr>
      <t>²</t>
    </r>
  </si>
  <si>
    <t>4,74 руб./м²</t>
  </si>
  <si>
    <t>4.</t>
  </si>
  <si>
    <t>Отопление.</t>
  </si>
  <si>
    <t>0,019 Гкал/м</t>
  </si>
  <si>
    <t>0,027 Гкал/м</t>
  </si>
  <si>
    <t>5.</t>
  </si>
  <si>
    <t>Горячее водоснабжение.</t>
  </si>
  <si>
    <t>218,90 руб./чел.</t>
  </si>
  <si>
    <t>301,44 руб./чел.</t>
  </si>
  <si>
    <t>6.</t>
  </si>
  <si>
    <t>Холодное водоснабжение.</t>
  </si>
  <si>
    <t>54,01 руб./чел.</t>
  </si>
  <si>
    <t>74,71 руб./чел.</t>
  </si>
  <si>
    <t>7.</t>
  </si>
  <si>
    <t>Водоотведение.</t>
  </si>
  <si>
    <t>98,72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</si>
  <si>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</si>
  <si>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</si>
  <si>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</si>
  <si>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</si>
  <si>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</si>
  <si>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</si>
  <si>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</si>
  <si>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году, с последующим перерасчетом по окончании</t>
  </si>
  <si>
    <t>2014г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</si>
  <si>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</si>
  <si>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</si>
  <si>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</si>
  <si>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</si>
  <si>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</si>
  <si>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 xml:space="preserve">         При этом в  2013 году вводится оплата за коммунальные услуги на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</si>
  <si>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</si>
  <si>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</si>
  <si>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</si>
  <si>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лифтов</t>
  </si>
  <si>
    <t xml:space="preserve">  -  монтаж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</si>
  <si>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</si>
  <si>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</si>
  <si>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</si>
  <si>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</si>
  <si>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бесхозных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</si>
  <si>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</si>
  <si>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</si>
  <si>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</si>
  <si>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</si>
  <si>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</si>
  <si>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</si>
  <si>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</si>
  <si>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</si>
  <si>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</si>
  <si>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</si>
  <si>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</si>
  <si>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</si>
  <si>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118(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</si>
</sst>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4" fontId="4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/>
    <xf numFmtId="4" fontId="4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0" fontId="2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/>
    <xf numFmtId="4" fontId="6" fillId="0" borderId="0" xfId="0" applyNumberFormat="1" applyFont="1" applyFill="1"/>
    <xf numFmtId="0" fontId="5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12" xfId="0" applyFont="1" applyFill="1" applyBorder="1" applyAlignment="1"/>
    <xf numFmtId="4" fontId="4" fillId="0" borderId="11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right"/>
    </xf>
    <xf numFmtId="4" fontId="2" fillId="0" borderId="7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/>
    <xf numFmtId="4" fontId="4" fillId="0" borderId="7" xfId="0" applyNumberFormat="1" applyFont="1" applyFill="1" applyBorder="1" applyAlignment="1"/>
    <xf numFmtId="4" fontId="2" fillId="0" borderId="6" xfId="0" applyNumberFormat="1" applyFont="1" applyFill="1" applyBorder="1" applyAlignment="1"/>
    <xf numFmtId="4" fontId="2" fillId="0" borderId="7" xfId="0" applyNumberFormat="1" applyFont="1" applyFill="1" applyBorder="1" applyAlignment="1"/>
    <xf numFmtId="0" fontId="2" fillId="0" borderId="5" xfId="0" applyFont="1" applyFill="1" applyBorder="1"/>
    <xf numFmtId="4" fontId="4" fillId="0" borderId="8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2" fillId="0" borderId="10" xfId="0" applyFont="1" applyFill="1" applyBorder="1"/>
    <xf numFmtId="0" fontId="4" fillId="0" borderId="11" xfId="0" applyFont="1" applyFill="1" applyBorder="1" applyAlignment="1"/>
    <xf numFmtId="0" fontId="4" fillId="0" borderId="13" xfId="0" applyFont="1" applyFill="1" applyBorder="1" applyAlignment="1"/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5"/>
  <sheetViews>
    <sheetView tabSelected="1" workbookViewId="0">
      <selection activeCell="F9" sqref="F9"/>
    </sheetView>
  </sheetViews>
  <sheetFormatPr defaultRowHeight="15"/>
  <cols>
    <col min="1" max="1" width="5.5703125" style="6" customWidth="1"/>
    <col min="2" max="2" width="11.42578125" style="6" customWidth="1"/>
    <col min="3" max="3" width="11.28515625" style="6" customWidth="1"/>
    <col min="4" max="4" width="5.28515625" style="6" customWidth="1"/>
    <col min="5" max="5" width="9.28515625" style="6" customWidth="1"/>
    <col min="6" max="6" width="9.42578125" style="6" customWidth="1"/>
    <col min="7" max="7" width="12.7109375" style="6" customWidth="1"/>
    <col min="8" max="8" width="13.85546875" style="6" customWidth="1"/>
    <col min="9" max="9" width="8" style="6" customWidth="1"/>
    <col min="10" max="10" width="11.7109375" style="6" customWidth="1"/>
    <col min="11" max="11" width="14" style="6" customWidth="1"/>
    <col min="12" max="12" width="0.42578125" style="6" customWidth="1"/>
  </cols>
  <sheetData>
    <row r="1" spans="1:12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>
      <c r="A3" s="2"/>
      <c r="B3" s="3"/>
      <c r="C3" s="2"/>
      <c r="D3" s="4" t="s">
        <v>2</v>
      </c>
      <c r="E3" s="3">
        <v>118</v>
      </c>
      <c r="F3" s="5" t="s">
        <v>3</v>
      </c>
      <c r="G3" s="5"/>
      <c r="H3" s="3"/>
      <c r="I3" s="3">
        <v>2013</v>
      </c>
      <c r="J3" s="5" t="s">
        <v>4</v>
      </c>
    </row>
    <row r="4" spans="1:12" ht="18.75">
      <c r="C4" s="1"/>
      <c r="D4" s="1"/>
      <c r="E4" s="1"/>
      <c r="F4" s="1"/>
      <c r="G4" s="1"/>
      <c r="H4" s="1"/>
      <c r="I4" s="1"/>
      <c r="J4" s="1"/>
    </row>
    <row r="5" spans="1:12" ht="15.75">
      <c r="A5" s="7" t="s">
        <v>5</v>
      </c>
      <c r="B5" s="8">
        <f>I3</f>
        <v>2013</v>
      </c>
      <c r="C5" s="6" t="s">
        <v>6</v>
      </c>
      <c r="D5" s="9" t="s">
        <v>158</v>
      </c>
      <c r="E5" s="10">
        <f>8585.2-368.6</f>
        <v>8216.6</v>
      </c>
      <c r="F5" s="6" t="s">
        <v>7</v>
      </c>
    </row>
    <row r="6" spans="1:12">
      <c r="A6" s="11">
        <v>5218574.3600000003</v>
      </c>
      <c r="B6" s="11"/>
      <c r="C6" s="12" t="s">
        <v>8</v>
      </c>
      <c r="G6" s="13">
        <f>A6-J7</f>
        <v>3603804.04</v>
      </c>
      <c r="H6" s="6" t="s">
        <v>9</v>
      </c>
      <c r="I6" s="14">
        <f>(G6/A6)*100</f>
        <v>69.057251873670722</v>
      </c>
      <c r="J6" s="6" t="s">
        <v>10</v>
      </c>
    </row>
    <row r="7" spans="1:12">
      <c r="A7" s="6" t="s">
        <v>11</v>
      </c>
      <c r="J7" s="13">
        <f>1614770.32-Q9</f>
        <v>1614770.32</v>
      </c>
      <c r="K7" s="6" t="s">
        <v>12</v>
      </c>
    </row>
    <row r="8" spans="1:12">
      <c r="A8" s="6" t="s">
        <v>13</v>
      </c>
    </row>
    <row r="9" spans="1:12">
      <c r="A9" s="6" t="s">
        <v>14</v>
      </c>
      <c r="B9" s="15">
        <v>38843.17</v>
      </c>
      <c r="C9" s="6" t="s">
        <v>15</v>
      </c>
      <c r="E9" s="6" t="s">
        <v>16</v>
      </c>
      <c r="F9" s="15">
        <v>40918.89</v>
      </c>
      <c r="G9" s="6" t="s">
        <v>15</v>
      </c>
      <c r="I9" s="6" t="s">
        <v>17</v>
      </c>
      <c r="J9" s="15">
        <v>60982.6</v>
      </c>
      <c r="K9" s="6" t="s">
        <v>15</v>
      </c>
    </row>
    <row r="10" spans="1:12">
      <c r="A10" s="6" t="s">
        <v>18</v>
      </c>
      <c r="B10" s="15">
        <v>24749.83</v>
      </c>
      <c r="C10" s="6" t="s">
        <v>15</v>
      </c>
      <c r="E10" s="16" t="s">
        <v>19</v>
      </c>
      <c r="F10" s="15">
        <v>38150.42</v>
      </c>
      <c r="G10" s="6" t="s">
        <v>15</v>
      </c>
      <c r="I10" s="6" t="s">
        <v>20</v>
      </c>
      <c r="J10" s="15">
        <v>25610.83</v>
      </c>
      <c r="K10" s="6" t="s">
        <v>15</v>
      </c>
    </row>
    <row r="11" spans="1:12">
      <c r="A11" s="6" t="s">
        <v>21</v>
      </c>
      <c r="B11" s="15">
        <v>25740.11</v>
      </c>
      <c r="C11" s="6" t="s">
        <v>15</v>
      </c>
      <c r="E11" s="16" t="s">
        <v>22</v>
      </c>
      <c r="F11" s="15">
        <v>40573.379999999997</v>
      </c>
      <c r="G11" s="6" t="s">
        <v>15</v>
      </c>
      <c r="I11" s="6" t="s">
        <v>23</v>
      </c>
      <c r="J11" s="15">
        <v>43509.69</v>
      </c>
      <c r="K11" s="6" t="s">
        <v>15</v>
      </c>
    </row>
    <row r="12" spans="1:12">
      <c r="B12" s="15"/>
      <c r="E12" s="16"/>
      <c r="F12" s="15"/>
      <c r="J12" s="15"/>
    </row>
    <row r="13" spans="1:12" ht="15.75">
      <c r="A13" s="6" t="s">
        <v>24</v>
      </c>
      <c r="J13" s="15">
        <f>G14+G15+G16+G17</f>
        <v>1614770.3200000003</v>
      </c>
      <c r="K13" s="17" t="s">
        <v>25</v>
      </c>
    </row>
    <row r="14" spans="1:12">
      <c r="A14" s="18" t="s">
        <v>26</v>
      </c>
      <c r="B14" s="6" t="s">
        <v>27</v>
      </c>
      <c r="G14" s="13">
        <f>(J7*43.5/100)</f>
        <v>702425.08920000005</v>
      </c>
      <c r="H14" s="6" t="s">
        <v>15</v>
      </c>
    </row>
    <row r="15" spans="1:12">
      <c r="A15" s="18" t="s">
        <v>26</v>
      </c>
      <c r="B15" s="6" t="s">
        <v>28</v>
      </c>
      <c r="G15" s="13">
        <f>(J7*36.6/100)</f>
        <v>591005.93712000002</v>
      </c>
      <c r="H15" s="6" t="s">
        <v>15</v>
      </c>
    </row>
    <row r="16" spans="1:12">
      <c r="A16" s="18" t="s">
        <v>26</v>
      </c>
      <c r="B16" s="6" t="s">
        <v>29</v>
      </c>
      <c r="G16" s="13">
        <f>(J7*12.5/100)</f>
        <v>201846.29</v>
      </c>
      <c r="H16" s="6" t="s">
        <v>15</v>
      </c>
      <c r="K16" s="12"/>
      <c r="L16" s="19"/>
    </row>
    <row r="17" spans="1:12">
      <c r="A17" s="18" t="s">
        <v>26</v>
      </c>
      <c r="B17" s="6" t="s">
        <v>30</v>
      </c>
      <c r="G17" s="13">
        <f>(J7*7.4/100)</f>
        <v>119493.00368000001</v>
      </c>
      <c r="H17" s="6" t="s">
        <v>15</v>
      </c>
    </row>
    <row r="18" spans="1:12">
      <c r="G18" s="20"/>
    </row>
    <row r="19" spans="1:12">
      <c r="A19" s="21" t="s">
        <v>31</v>
      </c>
      <c r="G19" s="13">
        <f>(E5*4.74*12)/1.03</f>
        <v>453747.77475728153</v>
      </c>
      <c r="H19" s="6" t="s">
        <v>32</v>
      </c>
    </row>
    <row r="20" spans="1:12" ht="15.75" thickBot="1">
      <c r="A20" s="11">
        <f>G19*I6/100</f>
        <v>313345.74368531199</v>
      </c>
      <c r="B20" s="11"/>
      <c r="C20" s="6" t="s">
        <v>33</v>
      </c>
    </row>
    <row r="21" spans="1:12">
      <c r="A21" s="22" t="s">
        <v>2</v>
      </c>
      <c r="B21" s="23" t="s">
        <v>34</v>
      </c>
      <c r="C21" s="24"/>
      <c r="D21" s="24"/>
      <c r="E21" s="24"/>
      <c r="F21" s="24"/>
      <c r="G21" s="24"/>
      <c r="H21" s="25"/>
      <c r="I21" s="22" t="s">
        <v>35</v>
      </c>
      <c r="J21" s="26" t="s">
        <v>36</v>
      </c>
      <c r="K21" s="23" t="s">
        <v>37</v>
      </c>
      <c r="L21" s="25"/>
    </row>
    <row r="22" spans="1:12" ht="15.75" thickBot="1">
      <c r="A22" s="27" t="s">
        <v>38</v>
      </c>
      <c r="B22" s="28"/>
      <c r="C22" s="29"/>
      <c r="D22" s="29"/>
      <c r="E22" s="29"/>
      <c r="F22" s="29"/>
      <c r="G22" s="29"/>
      <c r="H22" s="30"/>
      <c r="I22" s="27" t="s">
        <v>39</v>
      </c>
      <c r="J22" s="31"/>
      <c r="K22" s="32" t="s">
        <v>40</v>
      </c>
      <c r="L22" s="33"/>
    </row>
    <row r="23" spans="1:12" ht="15.75" thickBot="1">
      <c r="A23" s="34"/>
      <c r="B23" s="35" t="s">
        <v>41</v>
      </c>
      <c r="C23" s="36"/>
      <c r="D23" s="36"/>
      <c r="E23" s="36"/>
      <c r="F23" s="36"/>
      <c r="G23" s="36"/>
      <c r="H23" s="37"/>
      <c r="I23" s="38"/>
      <c r="J23" s="39"/>
      <c r="K23" s="40">
        <v>646088.78439600137</v>
      </c>
      <c r="L23" s="41"/>
    </row>
    <row r="24" spans="1:12">
      <c r="A24" s="42">
        <v>1</v>
      </c>
      <c r="B24" s="43" t="s">
        <v>42</v>
      </c>
      <c r="C24" s="44"/>
      <c r="D24" s="44"/>
      <c r="E24" s="44"/>
      <c r="F24" s="44"/>
      <c r="G24" s="44"/>
      <c r="H24" s="45"/>
      <c r="I24" s="42" t="s">
        <v>43</v>
      </c>
      <c r="J24" s="46">
        <f>4+2</f>
        <v>6</v>
      </c>
      <c r="K24" s="47">
        <v>693.33333333333337</v>
      </c>
      <c r="L24" s="48"/>
    </row>
    <row r="25" spans="1:12">
      <c r="A25" s="42">
        <v>2</v>
      </c>
      <c r="B25" s="43" t="s">
        <v>44</v>
      </c>
      <c r="C25" s="44"/>
      <c r="D25" s="44"/>
      <c r="E25" s="44"/>
      <c r="F25" s="44"/>
      <c r="G25" s="44"/>
      <c r="H25" s="45"/>
      <c r="I25" s="42" t="s">
        <v>45</v>
      </c>
      <c r="J25" s="49">
        <v>1</v>
      </c>
      <c r="K25" s="47">
        <v>6266.666666666667</v>
      </c>
      <c r="L25" s="48"/>
    </row>
    <row r="26" spans="1:12">
      <c r="A26" s="42">
        <v>3</v>
      </c>
      <c r="B26" s="43" t="s">
        <v>46</v>
      </c>
      <c r="C26" s="44"/>
      <c r="D26" s="44"/>
      <c r="E26" s="44"/>
      <c r="F26" s="44"/>
      <c r="G26" s="44"/>
      <c r="H26" s="45"/>
      <c r="I26" s="42" t="s">
        <v>43</v>
      </c>
      <c r="J26" s="46">
        <v>1</v>
      </c>
      <c r="K26" s="47">
        <f>2424/3</f>
        <v>808</v>
      </c>
      <c r="L26" s="48"/>
    </row>
    <row r="27" spans="1:12">
      <c r="A27" s="42">
        <v>4</v>
      </c>
      <c r="B27" s="43" t="s">
        <v>47</v>
      </c>
      <c r="C27" s="44"/>
      <c r="D27" s="44"/>
      <c r="E27" s="44"/>
      <c r="F27" s="44"/>
      <c r="G27" s="44"/>
      <c r="H27" s="45"/>
      <c r="I27" s="42" t="s">
        <v>48</v>
      </c>
      <c r="J27" s="42">
        <v>70</v>
      </c>
      <c r="K27" s="47">
        <v>8400</v>
      </c>
      <c r="L27" s="48"/>
    </row>
    <row r="28" spans="1:12">
      <c r="A28" s="42">
        <v>5</v>
      </c>
      <c r="B28" s="43" t="s">
        <v>49</v>
      </c>
      <c r="C28" s="44"/>
      <c r="D28" s="44"/>
      <c r="E28" s="44"/>
      <c r="F28" s="44"/>
      <c r="G28" s="44"/>
      <c r="H28" s="45"/>
      <c r="I28" s="42" t="s">
        <v>43</v>
      </c>
      <c r="J28" s="46">
        <v>2</v>
      </c>
      <c r="K28" s="47">
        <f>1480*2</f>
        <v>2960</v>
      </c>
      <c r="L28" s="48"/>
    </row>
    <row r="29" spans="1:12">
      <c r="A29" s="42">
        <v>6</v>
      </c>
      <c r="B29" s="43" t="s">
        <v>50</v>
      </c>
      <c r="C29" s="44"/>
      <c r="D29" s="44"/>
      <c r="E29" s="44"/>
      <c r="F29" s="44"/>
      <c r="G29" s="44"/>
      <c r="H29" s="45"/>
      <c r="I29" s="42" t="s">
        <v>43</v>
      </c>
      <c r="J29" s="46">
        <v>1</v>
      </c>
      <c r="K29" s="47">
        <v>203.33</v>
      </c>
      <c r="L29" s="48"/>
    </row>
    <row r="30" spans="1:12">
      <c r="A30" s="42">
        <v>7</v>
      </c>
      <c r="B30" s="43" t="s">
        <v>51</v>
      </c>
      <c r="C30" s="44"/>
      <c r="D30" s="44"/>
      <c r="E30" s="44"/>
      <c r="F30" s="44"/>
      <c r="G30" s="44"/>
      <c r="H30" s="45"/>
      <c r="I30" s="42" t="s">
        <v>43</v>
      </c>
      <c r="J30" s="46">
        <v>10</v>
      </c>
      <c r="K30" s="47">
        <v>16500</v>
      </c>
      <c r="L30" s="48"/>
    </row>
    <row r="31" spans="1:12">
      <c r="A31" s="42">
        <v>8</v>
      </c>
      <c r="B31" s="43" t="s">
        <v>52</v>
      </c>
      <c r="C31" s="44"/>
      <c r="D31" s="44"/>
      <c r="E31" s="44"/>
      <c r="F31" s="44"/>
      <c r="G31" s="44"/>
      <c r="H31" s="45"/>
      <c r="I31" s="42" t="s">
        <v>43</v>
      </c>
      <c r="J31" s="46">
        <v>5</v>
      </c>
      <c r="K31" s="47">
        <f>3919/3</f>
        <v>1306.3333333333333</v>
      </c>
      <c r="L31" s="48"/>
    </row>
    <row r="32" spans="1:12">
      <c r="A32" s="42">
        <v>9</v>
      </c>
      <c r="B32" s="43" t="s">
        <v>53</v>
      </c>
      <c r="C32" s="44"/>
      <c r="D32" s="44"/>
      <c r="E32" s="44"/>
      <c r="F32" s="44"/>
      <c r="G32" s="44"/>
      <c r="H32" s="45"/>
      <c r="I32" s="42" t="s">
        <v>43</v>
      </c>
      <c r="J32" s="46">
        <v>2</v>
      </c>
      <c r="K32" s="47">
        <v>6455</v>
      </c>
      <c r="L32" s="48"/>
    </row>
    <row r="33" spans="1:12">
      <c r="A33" s="42">
        <v>10</v>
      </c>
      <c r="B33" s="43" t="s">
        <v>54</v>
      </c>
      <c r="C33" s="44"/>
      <c r="D33" s="44"/>
      <c r="E33" s="44"/>
      <c r="F33" s="44"/>
      <c r="G33" s="44"/>
      <c r="H33" s="45"/>
      <c r="I33" s="42" t="s">
        <v>43</v>
      </c>
      <c r="J33" s="46">
        <v>2</v>
      </c>
      <c r="K33" s="47">
        <f>3250/3+1500/3</f>
        <v>1583.3333333333333</v>
      </c>
      <c r="L33" s="48"/>
    </row>
    <row r="34" spans="1:12" ht="17.25">
      <c r="A34" s="42">
        <v>11</v>
      </c>
      <c r="B34" s="43" t="s">
        <v>55</v>
      </c>
      <c r="C34" s="44"/>
      <c r="D34" s="44"/>
      <c r="E34" s="44"/>
      <c r="F34" s="44"/>
      <c r="G34" s="44"/>
      <c r="H34" s="45"/>
      <c r="I34" s="42" t="s">
        <v>56</v>
      </c>
      <c r="J34" s="49">
        <v>1899.9</v>
      </c>
      <c r="K34" s="47">
        <v>5980</v>
      </c>
      <c r="L34" s="48"/>
    </row>
    <row r="35" spans="1:12" ht="17.25">
      <c r="A35" s="42">
        <v>12</v>
      </c>
      <c r="B35" s="43" t="s">
        <v>57</v>
      </c>
      <c r="C35" s="44"/>
      <c r="D35" s="44"/>
      <c r="E35" s="44"/>
      <c r="F35" s="44"/>
      <c r="G35" s="44"/>
      <c r="H35" s="45"/>
      <c r="I35" s="42" t="s">
        <v>58</v>
      </c>
      <c r="J35" s="49">
        <v>1899.9</v>
      </c>
      <c r="K35" s="47">
        <v>6050</v>
      </c>
      <c r="L35" s="48"/>
    </row>
    <row r="36" spans="1:12">
      <c r="A36" s="42">
        <v>13</v>
      </c>
      <c r="B36" s="43" t="s">
        <v>59</v>
      </c>
      <c r="C36" s="44"/>
      <c r="D36" s="44"/>
      <c r="E36" s="44"/>
      <c r="F36" s="44"/>
      <c r="G36" s="44"/>
      <c r="H36" s="45"/>
      <c r="I36" s="42" t="s">
        <v>60</v>
      </c>
      <c r="J36" s="46">
        <v>32</v>
      </c>
      <c r="K36" s="47">
        <f>(19364/18835.9*8223.3)*0.097</f>
        <v>820.02400609474444</v>
      </c>
      <c r="L36" s="48"/>
    </row>
    <row r="37" spans="1:12">
      <c r="A37" s="42">
        <v>14</v>
      </c>
      <c r="B37" s="43" t="s">
        <v>61</v>
      </c>
      <c r="C37" s="44"/>
      <c r="D37" s="44"/>
      <c r="E37" s="44"/>
      <c r="F37" s="44"/>
      <c r="G37" s="44"/>
      <c r="H37" s="45"/>
      <c r="I37" s="42" t="s">
        <v>62</v>
      </c>
      <c r="J37" s="46">
        <v>5</v>
      </c>
      <c r="K37" s="47">
        <f>45000/18835.9*8223.3</f>
        <v>19645.915512399191</v>
      </c>
      <c r="L37" s="48"/>
    </row>
    <row r="38" spans="1:12">
      <c r="A38" s="42">
        <v>15</v>
      </c>
      <c r="B38" s="43" t="s">
        <v>63</v>
      </c>
      <c r="C38" s="44"/>
      <c r="D38" s="44"/>
      <c r="E38" s="44"/>
      <c r="F38" s="44"/>
      <c r="G38" s="44"/>
      <c r="H38" s="45"/>
      <c r="I38" s="42" t="s">
        <v>43</v>
      </c>
      <c r="J38" s="46">
        <v>10</v>
      </c>
      <c r="K38" s="47">
        <v>27566</v>
      </c>
      <c r="L38" s="48"/>
    </row>
    <row r="39" spans="1:12">
      <c r="A39" s="42">
        <v>16</v>
      </c>
      <c r="B39" s="44" t="s">
        <v>64</v>
      </c>
      <c r="C39" s="44"/>
      <c r="D39" s="44"/>
      <c r="E39" s="44"/>
      <c r="F39" s="44"/>
      <c r="G39" s="44"/>
      <c r="H39" s="44"/>
      <c r="I39" s="42" t="s">
        <v>43</v>
      </c>
      <c r="J39" s="49">
        <v>1</v>
      </c>
      <c r="K39" s="47">
        <v>6155</v>
      </c>
      <c r="L39" s="48"/>
    </row>
    <row r="40" spans="1:12">
      <c r="A40" s="42">
        <v>17</v>
      </c>
      <c r="B40" s="43" t="s">
        <v>65</v>
      </c>
      <c r="C40" s="44"/>
      <c r="D40" s="44"/>
      <c r="E40" s="44"/>
      <c r="F40" s="44"/>
      <c r="G40" s="44"/>
      <c r="H40" s="45"/>
      <c r="I40" s="42" t="s">
        <v>66</v>
      </c>
      <c r="J40" s="49">
        <f>20/2</f>
        <v>10</v>
      </c>
      <c r="K40" s="47">
        <f>255+7800/2</f>
        <v>4155</v>
      </c>
      <c r="L40" s="48"/>
    </row>
    <row r="41" spans="1:12">
      <c r="A41" s="42">
        <v>18</v>
      </c>
      <c r="B41" s="43" t="s">
        <v>67</v>
      </c>
      <c r="C41" s="44"/>
      <c r="D41" s="44"/>
      <c r="E41" s="44"/>
      <c r="F41" s="44"/>
      <c r="G41" s="44"/>
      <c r="H41" s="45"/>
      <c r="I41" s="42" t="s">
        <v>43</v>
      </c>
      <c r="J41" s="49">
        <v>1</v>
      </c>
      <c r="K41" s="47">
        <f>(13125.16+18500)/3</f>
        <v>10541.72</v>
      </c>
      <c r="L41" s="48"/>
    </row>
    <row r="42" spans="1:12">
      <c r="A42" s="42">
        <v>19</v>
      </c>
      <c r="B42" s="43" t="s">
        <v>68</v>
      </c>
      <c r="C42" s="44"/>
      <c r="D42" s="44"/>
      <c r="E42" s="44"/>
      <c r="F42" s="44"/>
      <c r="G42" s="44"/>
      <c r="H42" s="45"/>
      <c r="I42" s="50" t="s">
        <v>43</v>
      </c>
      <c r="J42" s="50">
        <v>30</v>
      </c>
      <c r="K42" s="47">
        <f>9390/3</f>
        <v>3130</v>
      </c>
      <c r="L42" s="48"/>
    </row>
    <row r="43" spans="1:12">
      <c r="A43" s="42">
        <v>20</v>
      </c>
      <c r="B43" s="43" t="s">
        <v>69</v>
      </c>
      <c r="C43" s="44"/>
      <c r="D43" s="44"/>
      <c r="E43" s="44"/>
      <c r="F43" s="44"/>
      <c r="G43" s="44"/>
      <c r="H43" s="45"/>
      <c r="I43" s="42" t="s">
        <v>43</v>
      </c>
      <c r="J43" s="49">
        <v>3</v>
      </c>
      <c r="K43" s="47">
        <v>3878</v>
      </c>
      <c r="L43" s="48"/>
    </row>
    <row r="44" spans="1:12">
      <c r="A44" s="42">
        <v>21</v>
      </c>
      <c r="B44" s="43" t="s">
        <v>70</v>
      </c>
      <c r="C44" s="44"/>
      <c r="D44" s="44"/>
      <c r="E44" s="44"/>
      <c r="F44" s="44"/>
      <c r="G44" s="44"/>
      <c r="H44" s="45"/>
      <c r="I44" s="42" t="s">
        <v>43</v>
      </c>
      <c r="J44" s="49">
        <v>2</v>
      </c>
      <c r="K44" s="47">
        <f>189+60</f>
        <v>249</v>
      </c>
      <c r="L44" s="48"/>
    </row>
    <row r="45" spans="1:12">
      <c r="A45" s="42">
        <v>22</v>
      </c>
      <c r="B45" s="43" t="s">
        <v>71</v>
      </c>
      <c r="C45" s="44"/>
      <c r="D45" s="44"/>
      <c r="E45" s="44"/>
      <c r="F45" s="44"/>
      <c r="G45" s="44"/>
      <c r="H45" s="45"/>
      <c r="I45" s="42" t="s">
        <v>43</v>
      </c>
      <c r="J45" s="49">
        <v>2</v>
      </c>
      <c r="K45" s="47">
        <v>8670</v>
      </c>
      <c r="L45" s="48"/>
    </row>
    <row r="46" spans="1:12">
      <c r="A46" s="42">
        <v>23</v>
      </c>
      <c r="B46" s="43" t="s">
        <v>72</v>
      </c>
      <c r="C46" s="44"/>
      <c r="D46" s="44"/>
      <c r="E46" s="44"/>
      <c r="F46" s="44"/>
      <c r="G46" s="44"/>
      <c r="H46" s="45"/>
      <c r="I46" s="42" t="s">
        <v>43</v>
      </c>
      <c r="J46" s="49">
        <v>2</v>
      </c>
      <c r="K46" s="47">
        <f>1000+1733.5</f>
        <v>2733.5</v>
      </c>
      <c r="L46" s="48"/>
    </row>
    <row r="47" spans="1:12">
      <c r="A47" s="42">
        <v>24</v>
      </c>
      <c r="B47" s="43" t="s">
        <v>73</v>
      </c>
      <c r="C47" s="44"/>
      <c r="D47" s="44"/>
      <c r="E47" s="44"/>
      <c r="F47" s="44"/>
      <c r="G47" s="44"/>
      <c r="H47" s="45"/>
      <c r="I47" s="42" t="s">
        <v>43</v>
      </c>
      <c r="J47" s="49">
        <v>68</v>
      </c>
      <c r="K47" s="47">
        <v>13928.3</v>
      </c>
      <c r="L47" s="48"/>
    </row>
    <row r="48" spans="1:12">
      <c r="A48" s="42">
        <v>25</v>
      </c>
      <c r="B48" s="43" t="s">
        <v>74</v>
      </c>
      <c r="C48" s="44"/>
      <c r="D48" s="44"/>
      <c r="E48" s="44"/>
      <c r="F48" s="44"/>
      <c r="G48" s="44"/>
      <c r="H48" s="45"/>
      <c r="I48" s="42" t="s">
        <v>43</v>
      </c>
      <c r="J48" s="49">
        <v>25</v>
      </c>
      <c r="K48" s="47">
        <f>6432/32</f>
        <v>201</v>
      </c>
      <c r="L48" s="48"/>
    </row>
    <row r="49" spans="1:12">
      <c r="A49" s="42">
        <v>26</v>
      </c>
      <c r="B49" s="43" t="s">
        <v>75</v>
      </c>
      <c r="C49" s="44"/>
      <c r="D49" s="44"/>
      <c r="E49" s="44"/>
      <c r="F49" s="44"/>
      <c r="G49" s="44"/>
      <c r="H49" s="45"/>
      <c r="I49" s="42" t="s">
        <v>76</v>
      </c>
      <c r="J49" s="49">
        <v>78.48</v>
      </c>
      <c r="K49" s="47">
        <f>16515.44*0.097</f>
        <v>1601.9976799999999</v>
      </c>
      <c r="L49" s="48"/>
    </row>
    <row r="50" spans="1:12">
      <c r="A50" s="42">
        <v>27</v>
      </c>
      <c r="B50" s="43" t="s">
        <v>77</v>
      </c>
      <c r="C50" s="44"/>
      <c r="D50" s="44"/>
      <c r="E50" s="44"/>
      <c r="F50" s="44"/>
      <c r="G50" s="44"/>
      <c r="H50" s="45"/>
      <c r="I50" s="42" t="s">
        <v>76</v>
      </c>
      <c r="J50" s="51">
        <v>40</v>
      </c>
      <c r="K50" s="47">
        <f>8479.95*0.097</f>
        <v>822.55515000000014</v>
      </c>
      <c r="L50" s="48"/>
    </row>
    <row r="51" spans="1:12">
      <c r="A51" s="42">
        <v>28</v>
      </c>
      <c r="B51" s="43" t="s">
        <v>78</v>
      </c>
      <c r="C51" s="44"/>
      <c r="D51" s="44"/>
      <c r="E51" s="44"/>
      <c r="F51" s="44"/>
      <c r="G51" s="44"/>
      <c r="H51" s="45"/>
      <c r="I51" s="42" t="s">
        <v>43</v>
      </c>
      <c r="J51" s="49">
        <v>1</v>
      </c>
      <c r="K51" s="47">
        <v>600</v>
      </c>
      <c r="L51" s="48"/>
    </row>
    <row r="52" spans="1:12">
      <c r="A52" s="42">
        <v>29</v>
      </c>
      <c r="B52" s="43" t="s">
        <v>79</v>
      </c>
      <c r="C52" s="44"/>
      <c r="D52" s="44"/>
      <c r="E52" s="44"/>
      <c r="F52" s="44"/>
      <c r="G52" s="44"/>
      <c r="H52" s="45"/>
      <c r="I52" s="42" t="s">
        <v>80</v>
      </c>
      <c r="J52" s="49">
        <f>17+7+2</f>
        <v>26</v>
      </c>
      <c r="K52" s="47">
        <f>35000*0.3537</f>
        <v>12379.5</v>
      </c>
      <c r="L52" s="48"/>
    </row>
    <row r="53" spans="1:12">
      <c r="A53" s="42">
        <v>30</v>
      </c>
      <c r="B53" s="43" t="s">
        <v>81</v>
      </c>
      <c r="C53" s="44"/>
      <c r="D53" s="44"/>
      <c r="E53" s="44"/>
      <c r="F53" s="44"/>
      <c r="G53" s="44"/>
      <c r="H53" s="45"/>
      <c r="I53" s="42" t="s">
        <v>43</v>
      </c>
      <c r="J53" s="49">
        <v>4</v>
      </c>
      <c r="K53" s="47">
        <f>6500*4</f>
        <v>26000</v>
      </c>
      <c r="L53" s="48"/>
    </row>
    <row r="54" spans="1:12" ht="17.25">
      <c r="A54" s="42">
        <v>31</v>
      </c>
      <c r="B54" s="43" t="s">
        <v>82</v>
      </c>
      <c r="C54" s="44"/>
      <c r="D54" s="44"/>
      <c r="E54" s="44"/>
      <c r="F54" s="44"/>
      <c r="G54" s="44"/>
      <c r="H54" s="45"/>
      <c r="I54" s="42" t="s">
        <v>58</v>
      </c>
      <c r="J54" s="49">
        <v>1899.9</v>
      </c>
      <c r="K54" s="47">
        <f>3000+880</f>
        <v>3880</v>
      </c>
      <c r="L54" s="48"/>
    </row>
    <row r="55" spans="1:12">
      <c r="A55" s="42">
        <v>32</v>
      </c>
      <c r="B55" s="43" t="s">
        <v>83</v>
      </c>
      <c r="C55" s="44"/>
      <c r="D55" s="44"/>
      <c r="E55" s="44"/>
      <c r="F55" s="44"/>
      <c r="G55" s="44"/>
      <c r="H55" s="45"/>
      <c r="I55" s="42" t="s">
        <v>43</v>
      </c>
      <c r="J55" s="49">
        <v>1</v>
      </c>
      <c r="K55" s="47">
        <f>7796/4</f>
        <v>1949</v>
      </c>
      <c r="L55" s="48"/>
    </row>
    <row r="56" spans="1:12">
      <c r="A56" s="42"/>
      <c r="B56" s="43" t="s">
        <v>84</v>
      </c>
      <c r="C56" s="44"/>
      <c r="D56" s="44"/>
      <c r="E56" s="44"/>
      <c r="F56" s="44"/>
      <c r="G56" s="44"/>
      <c r="H56" s="44"/>
      <c r="I56" s="42"/>
      <c r="J56" s="49"/>
      <c r="K56" s="52">
        <f>SUM(K24:L55)</f>
        <v>206112.50901516061</v>
      </c>
      <c r="L56" s="53"/>
    </row>
    <row r="57" spans="1:12">
      <c r="A57" s="42"/>
      <c r="B57" s="43" t="s">
        <v>85</v>
      </c>
      <c r="C57" s="44"/>
      <c r="D57" s="44"/>
      <c r="E57" s="44"/>
      <c r="F57" s="44"/>
      <c r="G57" s="44"/>
      <c r="H57" s="44"/>
      <c r="I57" s="42"/>
      <c r="J57" s="49"/>
      <c r="K57" s="54">
        <f>K56*0.14</f>
        <v>28855.751262122489</v>
      </c>
      <c r="L57" s="55"/>
    </row>
    <row r="58" spans="1:12" ht="15.75" thickBot="1">
      <c r="A58" s="42"/>
      <c r="B58" s="6" t="s">
        <v>86</v>
      </c>
      <c r="I58" s="56"/>
      <c r="K58" s="57">
        <f>SUM(K56:L57)</f>
        <v>234968.26027728309</v>
      </c>
      <c r="L58" s="58"/>
    </row>
    <row r="59" spans="1:12" ht="16.5" thickBot="1">
      <c r="A59" s="59"/>
      <c r="B59" s="60" t="s">
        <v>87</v>
      </c>
      <c r="C59" s="39"/>
      <c r="D59" s="39"/>
      <c r="E59" s="39"/>
      <c r="F59" s="39"/>
      <c r="G59" s="39"/>
      <c r="H59" s="61"/>
      <c r="I59" s="59"/>
      <c r="J59" s="59"/>
      <c r="K59" s="62">
        <f>K58+K23</f>
        <v>881057.04467328452</v>
      </c>
      <c r="L59" s="63"/>
    </row>
    <row r="60" spans="1:12">
      <c r="A60" s="6" t="s">
        <v>88</v>
      </c>
    </row>
    <row r="61" spans="1:12">
      <c r="A61" s="6" t="s">
        <v>89</v>
      </c>
      <c r="D61" s="8">
        <f>I3</f>
        <v>2013</v>
      </c>
      <c r="E61" s="6" t="s">
        <v>90</v>
      </c>
      <c r="G61" s="10">
        <f>K59-G19</f>
        <v>427309.26991600299</v>
      </c>
      <c r="H61" s="6" t="s">
        <v>91</v>
      </c>
    </row>
    <row r="62" spans="1:12" ht="15.75" thickBot="1">
      <c r="A62" s="6" t="s">
        <v>92</v>
      </c>
      <c r="B62" s="8">
        <f>I3</f>
        <v>2013</v>
      </c>
      <c r="C62" s="6" t="s">
        <v>93</v>
      </c>
    </row>
    <row r="63" spans="1:12">
      <c r="A63" s="64" t="s">
        <v>2</v>
      </c>
      <c r="B63" s="65" t="s">
        <v>94</v>
      </c>
      <c r="C63" s="66"/>
      <c r="D63" s="66"/>
      <c r="E63" s="67"/>
      <c r="F63" s="65" t="s">
        <v>95</v>
      </c>
      <c r="G63" s="66"/>
      <c r="H63" s="67"/>
      <c r="I63" s="65" t="s">
        <v>96</v>
      </c>
      <c r="J63" s="66"/>
      <c r="K63" s="66"/>
      <c r="L63" s="67"/>
    </row>
    <row r="64" spans="1:12" ht="15.75" thickBot="1">
      <c r="A64" s="68"/>
      <c r="B64" s="69"/>
      <c r="C64" s="70"/>
      <c r="D64" s="70"/>
      <c r="E64" s="71"/>
      <c r="F64" s="69"/>
      <c r="G64" s="70"/>
      <c r="H64" s="71"/>
      <c r="I64" s="69" t="s">
        <v>97</v>
      </c>
      <c r="J64" s="70"/>
      <c r="K64" s="70"/>
      <c r="L64" s="71"/>
    </row>
    <row r="65" spans="1:12">
      <c r="A65" s="72" t="s">
        <v>98</v>
      </c>
      <c r="B65" s="73" t="s">
        <v>99</v>
      </c>
      <c r="C65" s="74"/>
      <c r="D65" s="74"/>
      <c r="E65" s="75"/>
      <c r="F65" s="76" t="s">
        <v>100</v>
      </c>
      <c r="G65" s="77"/>
      <c r="H65" s="78"/>
      <c r="I65" s="76" t="s">
        <v>101</v>
      </c>
      <c r="J65" s="77"/>
      <c r="K65" s="77"/>
      <c r="L65" s="78"/>
    </row>
    <row r="66" spans="1:12">
      <c r="A66" s="42" t="s">
        <v>102</v>
      </c>
      <c r="B66" s="43" t="s">
        <v>103</v>
      </c>
      <c r="C66" s="44"/>
      <c r="D66" s="44"/>
      <c r="E66" s="45"/>
      <c r="F66" s="28" t="s">
        <v>104</v>
      </c>
      <c r="G66" s="29"/>
      <c r="H66" s="30"/>
      <c r="I66" s="28" t="s">
        <v>105</v>
      </c>
      <c r="J66" s="29"/>
      <c r="K66" s="29"/>
      <c r="L66" s="30"/>
    </row>
    <row r="67" spans="1:12">
      <c r="A67" s="42" t="s">
        <v>106</v>
      </c>
      <c r="B67" s="43" t="s">
        <v>107</v>
      </c>
      <c r="C67" s="44"/>
      <c r="D67" s="44"/>
      <c r="E67" s="45"/>
      <c r="F67" s="28" t="s">
        <v>108</v>
      </c>
      <c r="G67" s="29"/>
      <c r="H67" s="30"/>
      <c r="I67" s="28" t="s">
        <v>109</v>
      </c>
      <c r="J67" s="29"/>
      <c r="K67" s="29"/>
      <c r="L67" s="30"/>
    </row>
    <row r="68" spans="1:12">
      <c r="A68" s="42" t="s">
        <v>110</v>
      </c>
      <c r="B68" s="43" t="s">
        <v>111</v>
      </c>
      <c r="C68" s="44"/>
      <c r="D68" s="44"/>
      <c r="E68" s="45"/>
      <c r="F68" s="28" t="s">
        <v>112</v>
      </c>
      <c r="G68" s="29"/>
      <c r="H68" s="30"/>
      <c r="I68" s="28" t="s">
        <v>113</v>
      </c>
      <c r="J68" s="29"/>
      <c r="K68" s="29"/>
      <c r="L68" s="30"/>
    </row>
    <row r="69" spans="1:12">
      <c r="A69" s="42" t="s">
        <v>114</v>
      </c>
      <c r="B69" s="43" t="s">
        <v>115</v>
      </c>
      <c r="C69" s="44"/>
      <c r="D69" s="44"/>
      <c r="E69" s="45"/>
      <c r="F69" s="28" t="s">
        <v>116</v>
      </c>
      <c r="G69" s="29"/>
      <c r="H69" s="30"/>
      <c r="I69" s="28" t="s">
        <v>117</v>
      </c>
      <c r="J69" s="29"/>
      <c r="K69" s="29"/>
      <c r="L69" s="30"/>
    </row>
    <row r="70" spans="1:12" ht="15.75" thickBot="1">
      <c r="A70" s="79" t="s">
        <v>118</v>
      </c>
      <c r="B70" s="80" t="s">
        <v>119</v>
      </c>
      <c r="C70" s="81"/>
      <c r="D70" s="81"/>
      <c r="E70" s="82"/>
      <c r="F70" s="83" t="s">
        <v>120</v>
      </c>
      <c r="G70" s="84"/>
      <c r="H70" s="85"/>
      <c r="I70" s="83" t="s">
        <v>121</v>
      </c>
      <c r="J70" s="84"/>
      <c r="K70" s="84"/>
      <c r="L70" s="85"/>
    </row>
    <row r="71" spans="1:12">
      <c r="A71" s="86" t="s">
        <v>122</v>
      </c>
      <c r="B71" s="8">
        <f>I3+1</f>
        <v>2014</v>
      </c>
      <c r="C71" s="6" t="s">
        <v>123</v>
      </c>
    </row>
    <row r="72" spans="1:12">
      <c r="A72" s="87" t="s">
        <v>124</v>
      </c>
    </row>
    <row r="73" spans="1:12">
      <c r="A73" s="87" t="s">
        <v>125</v>
      </c>
      <c r="F73" s="14">
        <f>H95</f>
        <v>7.0315912290972227</v>
      </c>
      <c r="G73" s="6" t="s">
        <v>126</v>
      </c>
    </row>
    <row r="74" spans="1:12">
      <c r="A74" s="87" t="s">
        <v>127</v>
      </c>
      <c r="E74" s="8">
        <v>2013</v>
      </c>
      <c r="F74" s="6" t="s">
        <v>128</v>
      </c>
      <c r="K74" s="8" t="s">
        <v>129</v>
      </c>
    </row>
    <row r="75" spans="1:12">
      <c r="A75" s="87" t="s">
        <v>130</v>
      </c>
    </row>
    <row r="76" spans="1:12">
      <c r="A76" s="87" t="s">
        <v>131</v>
      </c>
    </row>
    <row r="77" spans="1:12">
      <c r="A77" s="87" t="s">
        <v>132</v>
      </c>
    </row>
    <row r="78" spans="1:12">
      <c r="A78" s="87" t="s">
        <v>133</v>
      </c>
    </row>
    <row r="79" spans="1:12">
      <c r="A79" s="87" t="s">
        <v>134</v>
      </c>
    </row>
    <row r="80" spans="1:12">
      <c r="A80" s="87" t="s">
        <v>135</v>
      </c>
    </row>
    <row r="82" spans="1:11">
      <c r="A82" s="87" t="s">
        <v>136</v>
      </c>
      <c r="B82" s="8">
        <f>I3+1</f>
        <v>2014</v>
      </c>
      <c r="C82" s="6" t="s">
        <v>137</v>
      </c>
    </row>
    <row r="83" spans="1:11">
      <c r="A83" s="87" t="s">
        <v>138</v>
      </c>
    </row>
    <row r="84" spans="1:11">
      <c r="A84" s="87" t="s">
        <v>139</v>
      </c>
      <c r="J84" s="15">
        <v>28000</v>
      </c>
      <c r="K84" s="6" t="s">
        <v>15</v>
      </c>
    </row>
    <row r="85" spans="1:11">
      <c r="A85" s="87" t="s">
        <v>140</v>
      </c>
      <c r="J85" s="15">
        <v>95000</v>
      </c>
      <c r="K85" s="6" t="s">
        <v>15</v>
      </c>
    </row>
    <row r="86" spans="1:11">
      <c r="A86" s="87" t="s">
        <v>141</v>
      </c>
      <c r="J86" s="15">
        <v>25000</v>
      </c>
      <c r="K86" s="6" t="s">
        <v>15</v>
      </c>
    </row>
    <row r="87" spans="1:11">
      <c r="A87" s="87" t="s">
        <v>142</v>
      </c>
      <c r="J87" s="15">
        <v>2000</v>
      </c>
      <c r="K87" s="6" t="s">
        <v>15</v>
      </c>
    </row>
    <row r="88" spans="1:11">
      <c r="A88" s="87" t="s">
        <v>143</v>
      </c>
      <c r="J88" s="15">
        <v>1000</v>
      </c>
      <c r="K88" s="6" t="s">
        <v>15</v>
      </c>
    </row>
    <row r="89" spans="1:11">
      <c r="A89" s="87" t="s">
        <v>144</v>
      </c>
      <c r="J89" s="15">
        <v>30000</v>
      </c>
      <c r="K89" s="6" t="s">
        <v>15</v>
      </c>
    </row>
    <row r="90" spans="1:11">
      <c r="A90" s="87" t="s">
        <v>145</v>
      </c>
      <c r="J90" s="15">
        <v>15000</v>
      </c>
      <c r="K90" s="6" t="s">
        <v>15</v>
      </c>
    </row>
    <row r="91" spans="1:11">
      <c r="A91" s="87" t="s">
        <v>146</v>
      </c>
      <c r="J91" s="15">
        <v>40000</v>
      </c>
      <c r="K91" s="6" t="s">
        <v>15</v>
      </c>
    </row>
    <row r="92" spans="1:11">
      <c r="A92" s="87" t="s">
        <v>147</v>
      </c>
      <c r="J92" s="15">
        <v>30000</v>
      </c>
      <c r="K92" s="6" t="s">
        <v>15</v>
      </c>
    </row>
    <row r="93" spans="1:11">
      <c r="A93" s="88" t="s">
        <v>148</v>
      </c>
      <c r="J93" s="13">
        <f>SUM(J84:J92)</f>
        <v>266000</v>
      </c>
      <c r="K93" s="89" t="s">
        <v>149</v>
      </c>
    </row>
    <row r="94" spans="1:11">
      <c r="A94" s="87" t="s">
        <v>150</v>
      </c>
      <c r="H94" s="8">
        <f>I3</f>
        <v>2013</v>
      </c>
      <c r="I94" s="6" t="s">
        <v>151</v>
      </c>
      <c r="K94" s="13">
        <f>G61</f>
        <v>427309.26991600299</v>
      </c>
    </row>
    <row r="95" spans="1:11">
      <c r="A95" s="87" t="s">
        <v>152</v>
      </c>
      <c r="C95" s="10">
        <f>J93+K94</f>
        <v>693309.26991600299</v>
      </c>
      <c r="D95" s="8" t="s">
        <v>153</v>
      </c>
      <c r="E95" s="90">
        <v>2013</v>
      </c>
      <c r="F95" s="6" t="s">
        <v>154</v>
      </c>
      <c r="H95" s="14">
        <f>C95/(E5*12)</f>
        <v>7.0315912290972227</v>
      </c>
      <c r="I95" s="6" t="s">
        <v>155</v>
      </c>
    </row>
    <row r="97" spans="1:11">
      <c r="B97" s="6" t="s">
        <v>156</v>
      </c>
    </row>
    <row r="98" spans="1:11">
      <c r="B98" s="6" t="s">
        <v>95</v>
      </c>
      <c r="I98" s="6" t="s">
        <v>157</v>
      </c>
    </row>
    <row r="100" spans="1:11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</row>
    <row r="105" spans="1:11">
      <c r="K105" s="92"/>
    </row>
  </sheetData>
  <mergeCells count="106">
    <mergeCell ref="A100:K100"/>
    <mergeCell ref="B69:E69"/>
    <mergeCell ref="F69:H69"/>
    <mergeCell ref="I69:L69"/>
    <mergeCell ref="B70:E70"/>
    <mergeCell ref="F70:H70"/>
    <mergeCell ref="I70:L70"/>
    <mergeCell ref="B67:E67"/>
    <mergeCell ref="F67:H67"/>
    <mergeCell ref="I67:L67"/>
    <mergeCell ref="B68:E68"/>
    <mergeCell ref="F68:H68"/>
    <mergeCell ref="I68:L68"/>
    <mergeCell ref="B65:E65"/>
    <mergeCell ref="F65:H65"/>
    <mergeCell ref="I65:L65"/>
    <mergeCell ref="B66:E66"/>
    <mergeCell ref="F66:H66"/>
    <mergeCell ref="I66:L66"/>
    <mergeCell ref="K58:L58"/>
    <mergeCell ref="K59:L59"/>
    <mergeCell ref="B63:E63"/>
    <mergeCell ref="F63:H63"/>
    <mergeCell ref="I63:L63"/>
    <mergeCell ref="B64:E64"/>
    <mergeCell ref="F64:H64"/>
    <mergeCell ref="I64:L64"/>
    <mergeCell ref="B55:H55"/>
    <mergeCell ref="K55:L55"/>
    <mergeCell ref="B56:H56"/>
    <mergeCell ref="K56:L56"/>
    <mergeCell ref="B57:H57"/>
    <mergeCell ref="K57:L57"/>
    <mergeCell ref="B52:H52"/>
    <mergeCell ref="K52:L52"/>
    <mergeCell ref="B53:H53"/>
    <mergeCell ref="K53:L53"/>
    <mergeCell ref="B54:H54"/>
    <mergeCell ref="K54:L54"/>
    <mergeCell ref="B49:H49"/>
    <mergeCell ref="K49:L49"/>
    <mergeCell ref="B50:H50"/>
    <mergeCell ref="K50:L50"/>
    <mergeCell ref="B51:H51"/>
    <mergeCell ref="K51:L51"/>
    <mergeCell ref="B46:H46"/>
    <mergeCell ref="K46:L46"/>
    <mergeCell ref="B47:H47"/>
    <mergeCell ref="K47:L47"/>
    <mergeCell ref="B48:H48"/>
    <mergeCell ref="K48:L48"/>
    <mergeCell ref="B43:H43"/>
    <mergeCell ref="K43:L43"/>
    <mergeCell ref="B44:H44"/>
    <mergeCell ref="K44:L44"/>
    <mergeCell ref="B45:H45"/>
    <mergeCell ref="K45:L45"/>
    <mergeCell ref="B40:H40"/>
    <mergeCell ref="K40:L40"/>
    <mergeCell ref="B41:H41"/>
    <mergeCell ref="K41:L41"/>
    <mergeCell ref="B42:H42"/>
    <mergeCell ref="K42:L42"/>
    <mergeCell ref="B37:H37"/>
    <mergeCell ref="K37:L37"/>
    <mergeCell ref="B38:H38"/>
    <mergeCell ref="K38:L38"/>
    <mergeCell ref="B39:H39"/>
    <mergeCell ref="K39:L39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1:L1"/>
    <mergeCell ref="A2:L2"/>
    <mergeCell ref="C4:J4"/>
    <mergeCell ref="A6:B6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2014-04-11T00:56:45Z</dcterms:modified>
</cp:coreProperties>
</file>