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0" i="1"/>
  <c r="J89"/>
  <c r="B79"/>
  <c r="B70"/>
  <c r="B61"/>
  <c r="K54"/>
  <c r="K52"/>
  <c r="J52"/>
  <c r="K51"/>
  <c r="K50"/>
  <c r="K49"/>
  <c r="K48"/>
  <c r="K46"/>
  <c r="K45"/>
  <c r="K43"/>
  <c r="J43"/>
  <c r="J42"/>
  <c r="K41"/>
  <c r="K40"/>
  <c r="K37"/>
  <c r="K35"/>
  <c r="K34"/>
  <c r="K33"/>
  <c r="K31"/>
  <c r="K30"/>
  <c r="K29"/>
  <c r="K55" s="1"/>
  <c r="K28"/>
  <c r="J28"/>
  <c r="G21"/>
  <c r="G19"/>
  <c r="G17"/>
  <c r="G16"/>
  <c r="J8"/>
  <c r="G18" s="1"/>
  <c r="G7"/>
  <c r="I7" s="1"/>
  <c r="B6"/>
  <c r="A22" l="1"/>
  <c r="K57"/>
  <c r="K58" s="1"/>
  <c r="G60" s="1"/>
  <c r="K90" s="1"/>
  <c r="C91" s="1"/>
  <c r="H91" s="1"/>
  <c r="F72" s="1"/>
  <c r="K56"/>
  <c r="J15"/>
</calcChain>
</file>

<file path=xl/sharedStrings.xml><?xml version="1.0" encoding="utf-8"?>
<sst xmlns="http://schemas.openxmlformats.org/spreadsheetml/2006/main" count="195" uniqueCount="152">
  <si>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</si>
  <si>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</si>
  <si>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</si>
  <si>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     по    мкр.  Юбилейный    за </t>
  </si>
  <si>
    <t>год</t>
  </si>
  <si>
    <t xml:space="preserve">1.   В </t>
  </si>
  <si>
    <t xml:space="preserve">   по дому</t>
  </si>
  <si>
    <t xml:space="preserve">   119 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</si>
  <si>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</si>
  <si>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</si>
  <si>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рублей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</si>
  <si>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</si>
  <si>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</si>
  <si>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</si>
  <si>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</si>
  <si>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 </t>
    </r>
    <r>
      <rPr>
        <sz val="11"/>
        <rFont val="Calibri"/>
        <family val="2"/>
        <charset val="204"/>
        <scheme val="minor"/>
      </rPr>
      <t xml:space="preserve">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</si>
  <si>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</si>
  <si>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24 -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</si>
  <si>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37 -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</si>
  <si>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16 </t>
    </r>
    <r>
      <rPr>
        <sz val="11"/>
        <rFont val="Calibri"/>
        <family val="2"/>
        <charset val="204"/>
        <scheme val="minor"/>
      </rPr>
      <t xml:space="preserve">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</si>
  <si>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 xml:space="preserve">28 -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</si>
  <si>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38 -</t>
    </r>
  </si>
  <si>
    <r>
      <t>кв.</t>
    </r>
    <r>
      <rPr>
        <b/>
        <sz val="11"/>
        <rFont val="Calibri"/>
        <family val="2"/>
        <charset val="204"/>
        <scheme val="minor"/>
      </rPr>
      <t>22</t>
    </r>
    <r>
      <rPr>
        <sz val="1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</si>
  <si>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35 -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</si>
  <si>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61 </t>
    </r>
    <r>
      <rPr>
        <sz val="11"/>
        <rFont val="Calibri"/>
        <family val="2"/>
        <charset val="204"/>
        <scheme val="minor"/>
      </rPr>
      <t>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</si>
  <si>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</si>
  <si>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</si>
  <si>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</si>
  <si>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</si>
  <si>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</si>
  <si>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</si>
  <si>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</si>
  <si>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</si>
  <si>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</si>
  <si>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</si>
  <si>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 xml:space="preserve">                        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</si>
  <si>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</si>
  <si>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</si>
  <si>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</si>
  <si>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</si>
  <si>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</si>
  <si>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</si>
  <si>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</si>
  <si>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</si>
  <si>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Устройство душевой кабины</t>
  </si>
  <si>
    <t>шт</t>
  </si>
  <si>
    <t>Установка замков на двери  РУ - 6кВ, РУ - 0,4 кВ в ТП № 3182</t>
  </si>
  <si>
    <t>шт.</t>
  </si>
  <si>
    <t>Изготовление информационных досок в ИТП</t>
  </si>
  <si>
    <t xml:space="preserve">Таблички в лифт "Дежурный лифтер" (взамен украденных) </t>
  </si>
  <si>
    <t>Ремонт наружного освещения: замена ламп ДНАТ (услуги автовышки)</t>
  </si>
  <si>
    <t>Замена старого коврового покрытия на новое (пластиковый коврик)</t>
  </si>
  <si>
    <t>Вывоз строительного и негабаритного мусора в апреле(29,5%).</t>
  </si>
  <si>
    <r>
      <t>м</t>
    </r>
    <r>
      <rPr>
        <vertAlign val="superscript"/>
        <sz val="11"/>
        <rFont val="Calibri"/>
        <family val="2"/>
        <charset val="204"/>
        <scheme val="minor"/>
      </rPr>
      <t>3</t>
    </r>
  </si>
  <si>
    <t>Окраска  мусорных контейнеров</t>
  </si>
  <si>
    <t>Вывоз снега с придомовой территории в марте</t>
  </si>
  <si>
    <t>м/час</t>
  </si>
  <si>
    <t>Благоустройство территории (завоз песка на детскую площадку)</t>
  </si>
  <si>
    <t>т.</t>
  </si>
  <si>
    <t>Установка поэтажных табличек</t>
  </si>
  <si>
    <t>Генеральная уборка подъездов в апреле 1,2 подъезд.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</si>
  <si>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</si>
  <si>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и установка поливочного шланга 50 м</t>
  </si>
  <si>
    <t>Установка шарниров и навесного замка на пандус (1-ый подъезд).</t>
  </si>
  <si>
    <t>Подготовка ТП к отопительному сезону (замена монометров, термометров)</t>
  </si>
  <si>
    <t>Ремонт освещения в подъезде (замена светильников)</t>
  </si>
  <si>
    <t>Благоустройство территории (завоз чернозема для газонов) (50%)</t>
  </si>
  <si>
    <t>Окраска бордюр, дорожная разметка.</t>
  </si>
  <si>
    <t>м</t>
  </si>
  <si>
    <t>Благоустройство детской площадки (устройство входа для въезда колясок, велосипедов).</t>
  </si>
  <si>
    <t>Благоустройство придомовой территории (завоз кустарников и деревьев).</t>
  </si>
  <si>
    <t>Аварийная чистка канализации.</t>
  </si>
  <si>
    <t>Наклейки - обозначения в ИТП.</t>
  </si>
  <si>
    <t>компл.</t>
  </si>
  <si>
    <t>Вывоз строительного и негабаритного мусора в октябре (29,5%).</t>
  </si>
  <si>
    <r>
      <t>м</t>
    </r>
    <r>
      <rPr>
        <sz val="11"/>
        <rFont val="Calibri"/>
        <family val="2"/>
        <charset val="204"/>
      </rPr>
      <t>³</t>
    </r>
  </si>
  <si>
    <t>Вывоз строительного и негабаритного мусора в ноябре (29,5%).</t>
  </si>
  <si>
    <t>Монтаж дополнительного наружного освещения придомовой территории с торца.</t>
  </si>
  <si>
    <t>Уборка и вывоз снега с  придомовой территории(23,02%).</t>
  </si>
  <si>
    <t>маш/час</t>
  </si>
  <si>
    <t>Ежегодное  тех. освидетельствование лифтов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</si>
  <si>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</si>
  <si>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</si>
  <si>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</si>
  <si>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</si>
  <si>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</si>
  <si>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</si>
  <si>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 xml:space="preserve">состоянию  на   31 декабря  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</si>
  <si>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</si>
  <si>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</si>
  <si>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</si>
  <si>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</si>
  <si>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</si>
  <si>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</si>
  <si>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</si>
  <si>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</si>
  <si>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</si>
  <si>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</si>
  <si>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</si>
  <si>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</si>
  <si>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</si>
  <si>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</si>
  <si>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</si>
  <si>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</si>
  <si>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</si>
  <si>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</si>
  <si>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</t>
  </si>
  <si>
    <t>0,027 Гкал/м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</si>
  <si>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</si>
  <si>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</si>
  <si>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</si>
  <si>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</si>
  <si>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</si>
  <si>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</si>
  <si>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</si>
  <si>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</si>
  <si>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</si>
  <si>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</si>
  <si>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</si>
  <si>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</si>
  <si>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</si>
  <si>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</si>
  <si>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</si>
  <si>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</si>
  <si>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</si>
  <si>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</si>
  <si>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</si>
  <si>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</si>
  <si>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</si>
  <si>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</t>
  </si>
  <si>
    <t xml:space="preserve">   по новым нормативам, введенным с 01 января 2013 года Приказом № 7-мпр от 27 августа 2012 года. ).</t>
  </si>
  <si>
    <t>2.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</si>
  <si>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</si>
  <si>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</si>
  <si>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  монтаж системы видеонаблюдения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</si>
  <si>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</si>
  <si>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</si>
  <si>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</si>
  <si>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</si>
  <si>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</si>
  <si>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благоустройство территории</t>
  </si>
  <si>
    <t xml:space="preserve"> ИТОГО  ориентировочно:</t>
  </si>
  <si>
    <t>рублей</t>
  </si>
  <si>
    <t xml:space="preserve">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</si>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</sst>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Arial"/>
      <family val="2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8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4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4" fillId="0" borderId="13" xfId="0" applyFont="1" applyFill="1" applyBorder="1" applyAlignment="1"/>
    <xf numFmtId="4" fontId="4" fillId="0" borderId="12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/>
    <xf numFmtId="4" fontId="4" fillId="0" borderId="8" xfId="0" applyNumberFormat="1" applyFont="1" applyFill="1" applyBorder="1" applyAlignment="1"/>
    <xf numFmtId="4" fontId="1" fillId="0" borderId="7" xfId="0" applyNumberFormat="1" applyFont="1" applyFill="1" applyBorder="1" applyAlignment="1"/>
    <xf numFmtId="4" fontId="1" fillId="0" borderId="8" xfId="0" applyNumberFormat="1" applyFont="1" applyFill="1" applyBorder="1" applyAlignment="1"/>
    <xf numFmtId="0" fontId="1" fillId="0" borderId="6" xfId="0" applyFont="1" applyFill="1" applyBorder="1"/>
    <xf numFmtId="4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1" fillId="0" borderId="11" xfId="0" applyFont="1" applyFill="1" applyBorder="1"/>
    <xf numFmtId="0" fontId="4" fillId="0" borderId="12" xfId="0" applyFont="1" applyFill="1" applyBorder="1" applyAlignment="1"/>
    <xf numFmtId="0" fontId="4" fillId="0" borderId="14" xfId="0" applyFont="1" applyFill="1" applyBorder="1" applyAlignment="1"/>
    <xf numFmtId="4" fontId="8" fillId="0" borderId="9" xfId="0" applyNumberFormat="1" applyFont="1" applyFill="1" applyBorder="1" applyAlignment="1"/>
    <xf numFmtId="4" fontId="8" fillId="0" borderId="10" xfId="0" applyNumberFormat="1" applyFont="1" applyFill="1" applyBorder="1" applyAlignment="1"/>
    <xf numFmtId="4" fontId="4" fillId="0" borderId="0" xfId="0" applyNumberFormat="1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topLeftCell="A67" workbookViewId="0">
      <selection activeCell="N85" sqref="N85"/>
    </sheetView>
  </sheetViews>
  <sheetFormatPr defaultRowHeight="15"/>
  <cols>
    <col min="1" max="1" width="5" style="1" customWidth="1"/>
    <col min="2" max="2" width="9.85546875" style="1" customWidth="1"/>
    <col min="3" max="3" width="10.85546875" style="1" customWidth="1"/>
    <col min="4" max="4" width="10.28515625" style="1" customWidth="1"/>
    <col min="5" max="5" width="6.5703125" style="1" customWidth="1"/>
    <col min="6" max="6" width="9.5703125" style="1" customWidth="1"/>
    <col min="7" max="7" width="13.140625" style="1" customWidth="1"/>
    <col min="8" max="8" width="14.7109375" style="1" customWidth="1"/>
    <col min="9" max="9" width="7.42578125" style="1" customWidth="1"/>
    <col min="10" max="10" width="11.140625" style="1" customWidth="1"/>
    <col min="11" max="11" width="10.7109375" style="1" customWidth="1"/>
    <col min="12" max="12" width="1.71093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119</v>
      </c>
      <c r="F4" s="7" t="s">
        <v>3</v>
      </c>
      <c r="G4" s="7"/>
      <c r="H4" s="5"/>
      <c r="I4" s="5"/>
      <c r="J4" s="5">
        <v>2013</v>
      </c>
      <c r="K4" s="8" t="s">
        <v>4</v>
      </c>
    </row>
    <row r="5" spans="1:12" ht="18.75">
      <c r="A5" s="4"/>
      <c r="B5" s="5"/>
      <c r="C5" s="3"/>
      <c r="D5" s="3"/>
      <c r="E5" s="3"/>
      <c r="F5" s="3"/>
      <c r="G5" s="3"/>
      <c r="H5" s="3"/>
      <c r="I5" s="3"/>
      <c r="J5" s="3"/>
    </row>
    <row r="6" spans="1:12" ht="15.75">
      <c r="A6" s="9" t="s">
        <v>5</v>
      </c>
      <c r="B6" s="10">
        <f>J4</f>
        <v>2013</v>
      </c>
      <c r="C6" s="1" t="s">
        <v>6</v>
      </c>
      <c r="D6" s="10" t="s">
        <v>7</v>
      </c>
      <c r="E6" s="11">
        <v>5366.8</v>
      </c>
      <c r="F6" s="1" t="s">
        <v>8</v>
      </c>
      <c r="K6" s="12"/>
      <c r="L6" s="12"/>
    </row>
    <row r="7" spans="1:12" ht="15.75">
      <c r="A7" s="13">
        <v>2875819.72</v>
      </c>
      <c r="B7" s="13"/>
      <c r="C7" s="14" t="s">
        <v>9</v>
      </c>
      <c r="G7" s="15">
        <f>A7-J8</f>
        <v>2447787.1</v>
      </c>
      <c r="H7" s="1" t="s">
        <v>10</v>
      </c>
      <c r="I7" s="16">
        <f>(G7/A7)*100</f>
        <v>85.116152552149543</v>
      </c>
      <c r="J7" s="1" t="s">
        <v>11</v>
      </c>
      <c r="K7" s="12"/>
      <c r="L7" s="12"/>
    </row>
    <row r="8" spans="1:12">
      <c r="A8" s="1" t="s">
        <v>12</v>
      </c>
      <c r="J8" s="17">
        <f>478152.42-32979.8-17140</f>
        <v>428032.62</v>
      </c>
      <c r="K8" s="18" t="s">
        <v>13</v>
      </c>
      <c r="L8" s="18"/>
    </row>
    <row r="9" spans="1:12">
      <c r="A9" s="1" t="s">
        <v>14</v>
      </c>
      <c r="K9" s="12"/>
      <c r="L9" s="12"/>
    </row>
    <row r="10" spans="1:12">
      <c r="K10" s="10"/>
      <c r="L10" s="10"/>
    </row>
    <row r="11" spans="1:12">
      <c r="A11" s="1" t="s">
        <v>15</v>
      </c>
      <c r="B11" s="19">
        <v>20033.43</v>
      </c>
      <c r="C11" s="1" t="s">
        <v>16</v>
      </c>
      <c r="E11" s="20" t="s">
        <v>17</v>
      </c>
      <c r="F11" s="19">
        <v>32101.5</v>
      </c>
      <c r="G11" s="1" t="s">
        <v>16</v>
      </c>
      <c r="I11" s="1" t="s">
        <v>18</v>
      </c>
      <c r="J11" s="19">
        <v>17742.34</v>
      </c>
      <c r="K11" s="18" t="s">
        <v>16</v>
      </c>
      <c r="L11" s="18"/>
    </row>
    <row r="12" spans="1:12">
      <c r="A12" s="1" t="s">
        <v>19</v>
      </c>
      <c r="B12" s="19">
        <v>31160.19</v>
      </c>
      <c r="C12" s="1" t="s">
        <v>16</v>
      </c>
      <c r="E12" s="20" t="s">
        <v>20</v>
      </c>
      <c r="F12" s="19">
        <v>15659.93</v>
      </c>
      <c r="G12" s="1" t="s">
        <v>16</v>
      </c>
      <c r="I12" s="1" t="s">
        <v>21</v>
      </c>
      <c r="J12" s="19">
        <v>21284</v>
      </c>
      <c r="K12" s="18" t="s">
        <v>16</v>
      </c>
      <c r="L12" s="18"/>
    </row>
    <row r="13" spans="1:12">
      <c r="A13" s="1" t="s">
        <v>22</v>
      </c>
      <c r="B13" s="19">
        <v>27961.85</v>
      </c>
      <c r="C13" s="1" t="s">
        <v>16</v>
      </c>
      <c r="E13" s="21" t="s">
        <v>23</v>
      </c>
      <c r="F13" s="19">
        <v>16860.48</v>
      </c>
      <c r="G13" s="1" t="s">
        <v>16</v>
      </c>
      <c r="I13" s="1" t="s">
        <v>24</v>
      </c>
      <c r="J13" s="19">
        <v>18303.96</v>
      </c>
      <c r="K13" s="18" t="s">
        <v>16</v>
      </c>
      <c r="L13" s="18"/>
    </row>
    <row r="14" spans="1:12">
      <c r="B14" s="19"/>
      <c r="E14" s="21"/>
      <c r="F14" s="19"/>
      <c r="J14" s="19"/>
      <c r="K14" s="18"/>
      <c r="L14" s="18"/>
    </row>
    <row r="15" spans="1:12" ht="15.75">
      <c r="A15" s="1" t="s">
        <v>25</v>
      </c>
      <c r="J15" s="19">
        <f>G16+G17+G18+G19</f>
        <v>428032.62</v>
      </c>
      <c r="K15" s="22" t="s">
        <v>26</v>
      </c>
      <c r="L15" s="22"/>
    </row>
    <row r="16" spans="1:12">
      <c r="A16" s="23" t="s">
        <v>27</v>
      </c>
      <c r="B16" s="1" t="s">
        <v>28</v>
      </c>
      <c r="G16" s="24">
        <f>(J8*43.5/100)</f>
        <v>186194.18969999999</v>
      </c>
      <c r="H16" s="1" t="s">
        <v>16</v>
      </c>
      <c r="K16" s="12"/>
      <c r="L16" s="12"/>
    </row>
    <row r="17" spans="1:12">
      <c r="A17" s="23" t="s">
        <v>27</v>
      </c>
      <c r="B17" s="1" t="s">
        <v>29</v>
      </c>
      <c r="G17" s="24">
        <f>(J8*36.6/100)</f>
        <v>156659.93892000002</v>
      </c>
      <c r="H17" s="1" t="s">
        <v>16</v>
      </c>
      <c r="K17" s="12"/>
      <c r="L17" s="12"/>
    </row>
    <row r="18" spans="1:12">
      <c r="A18" s="23" t="s">
        <v>27</v>
      </c>
      <c r="B18" s="1" t="s">
        <v>30</v>
      </c>
      <c r="G18" s="24">
        <f>(J8*12.5/100)</f>
        <v>53504.077499999999</v>
      </c>
      <c r="H18" s="1" t="s">
        <v>16</v>
      </c>
      <c r="K18" s="25"/>
      <c r="L18" s="25"/>
    </row>
    <row r="19" spans="1:12">
      <c r="A19" s="23" t="s">
        <v>27</v>
      </c>
      <c r="B19" s="1" t="s">
        <v>31</v>
      </c>
      <c r="G19" s="24">
        <f>(J8*7.4/100)</f>
        <v>31674.413880000004</v>
      </c>
      <c r="H19" s="1" t="s">
        <v>16</v>
      </c>
      <c r="K19" s="12"/>
      <c r="L19" s="12"/>
    </row>
    <row r="20" spans="1:12">
      <c r="A20" s="23"/>
      <c r="G20" s="24"/>
      <c r="K20" s="10"/>
      <c r="L20" s="10"/>
    </row>
    <row r="21" spans="1:12">
      <c r="A21" s="26" t="s">
        <v>32</v>
      </c>
      <c r="G21" s="24">
        <f>(E6-N8)*4.74*12/1.03</f>
        <v>296372.41165048548</v>
      </c>
      <c r="H21" s="1" t="s">
        <v>33</v>
      </c>
      <c r="K21" s="12"/>
      <c r="L21" s="12"/>
    </row>
    <row r="22" spans="1:12">
      <c r="A22" s="27">
        <f>G21*I7/100</f>
        <v>252260.79402291187</v>
      </c>
      <c r="B22" s="27"/>
      <c r="C22" s="1" t="s">
        <v>34</v>
      </c>
      <c r="K22" s="28"/>
      <c r="L22" s="28"/>
    </row>
    <row r="23" spans="1:12" ht="15.75" thickBot="1">
      <c r="A23" s="29" t="s">
        <v>35</v>
      </c>
      <c r="B23" s="29"/>
      <c r="C23" s="29"/>
      <c r="D23" s="29"/>
      <c r="E23" s="29"/>
      <c r="F23" s="29"/>
      <c r="G23" s="29"/>
      <c r="H23" s="29"/>
      <c r="I23" s="29"/>
      <c r="K23" s="30"/>
      <c r="L23" s="30"/>
    </row>
    <row r="24" spans="1:12">
      <c r="A24" s="31" t="s">
        <v>2</v>
      </c>
      <c r="B24" s="32" t="s">
        <v>36</v>
      </c>
      <c r="C24" s="33"/>
      <c r="D24" s="33"/>
      <c r="E24" s="33"/>
      <c r="F24" s="33"/>
      <c r="G24" s="33"/>
      <c r="H24" s="34"/>
      <c r="I24" s="31" t="s">
        <v>37</v>
      </c>
      <c r="J24" s="35" t="s">
        <v>38</v>
      </c>
      <c r="K24" s="32" t="s">
        <v>39</v>
      </c>
      <c r="L24" s="34"/>
    </row>
    <row r="25" spans="1:12" ht="15.75" thickBot="1">
      <c r="A25" s="36" t="s">
        <v>40</v>
      </c>
      <c r="B25" s="37"/>
      <c r="C25" s="28"/>
      <c r="D25" s="28"/>
      <c r="E25" s="28"/>
      <c r="F25" s="28"/>
      <c r="G25" s="28"/>
      <c r="H25" s="38"/>
      <c r="I25" s="36" t="s">
        <v>41</v>
      </c>
      <c r="J25" s="39"/>
      <c r="K25" s="40" t="s">
        <v>42</v>
      </c>
      <c r="L25" s="41"/>
    </row>
    <row r="26" spans="1:12" ht="15.75" thickBot="1">
      <c r="A26" s="42"/>
      <c r="B26" s="43" t="s">
        <v>43</v>
      </c>
      <c r="C26" s="44"/>
      <c r="D26" s="44"/>
      <c r="E26" s="44"/>
      <c r="F26" s="44"/>
      <c r="G26" s="44"/>
      <c r="H26" s="45"/>
      <c r="I26" s="42"/>
      <c r="J26" s="46"/>
      <c r="K26" s="47">
        <v>172195.76400882209</v>
      </c>
      <c r="L26" s="48"/>
    </row>
    <row r="27" spans="1:12">
      <c r="A27" s="49">
        <v>1</v>
      </c>
      <c r="B27" s="50" t="s">
        <v>44</v>
      </c>
      <c r="C27" s="51"/>
      <c r="D27" s="51"/>
      <c r="E27" s="51"/>
      <c r="F27" s="51"/>
      <c r="G27" s="51"/>
      <c r="H27" s="52"/>
      <c r="I27" s="49" t="s">
        <v>45</v>
      </c>
      <c r="J27" s="53">
        <v>1</v>
      </c>
      <c r="K27" s="54">
        <v>6266.666666666667</v>
      </c>
      <c r="L27" s="55"/>
    </row>
    <row r="28" spans="1:12">
      <c r="A28" s="49">
        <v>2</v>
      </c>
      <c r="B28" s="50" t="s">
        <v>46</v>
      </c>
      <c r="C28" s="51"/>
      <c r="D28" s="51"/>
      <c r="E28" s="51"/>
      <c r="F28" s="51"/>
      <c r="G28" s="51"/>
      <c r="H28" s="52"/>
      <c r="I28" s="49" t="s">
        <v>47</v>
      </c>
      <c r="J28" s="53">
        <f>4+2</f>
        <v>6</v>
      </c>
      <c r="K28" s="54">
        <f>2080/3</f>
        <v>693.33333333333337</v>
      </c>
      <c r="L28" s="55"/>
    </row>
    <row r="29" spans="1:12">
      <c r="A29" s="49">
        <v>4</v>
      </c>
      <c r="B29" s="50" t="s">
        <v>48</v>
      </c>
      <c r="C29" s="51"/>
      <c r="D29" s="51"/>
      <c r="E29" s="51"/>
      <c r="F29" s="51"/>
      <c r="G29" s="51"/>
      <c r="H29" s="52"/>
      <c r="I29" s="49" t="s">
        <v>47</v>
      </c>
      <c r="J29" s="56">
        <v>1</v>
      </c>
      <c r="K29" s="54">
        <f>2424/3</f>
        <v>808</v>
      </c>
      <c r="L29" s="55"/>
    </row>
    <row r="30" spans="1:12">
      <c r="A30" s="49">
        <v>5</v>
      </c>
      <c r="B30" s="50" t="s">
        <v>49</v>
      </c>
      <c r="C30" s="51"/>
      <c r="D30" s="51"/>
      <c r="E30" s="51"/>
      <c r="F30" s="51"/>
      <c r="G30" s="51"/>
      <c r="H30" s="52"/>
      <c r="I30" s="49" t="s">
        <v>47</v>
      </c>
      <c r="J30" s="56">
        <v>2</v>
      </c>
      <c r="K30" s="54">
        <f>203.33*2</f>
        <v>406.66</v>
      </c>
      <c r="L30" s="55"/>
    </row>
    <row r="31" spans="1:12">
      <c r="A31" s="49">
        <v>6</v>
      </c>
      <c r="B31" s="50" t="s">
        <v>50</v>
      </c>
      <c r="C31" s="51"/>
      <c r="D31" s="51"/>
      <c r="E31" s="51"/>
      <c r="F31" s="51"/>
      <c r="G31" s="51"/>
      <c r="H31" s="52"/>
      <c r="I31" s="49" t="s">
        <v>47</v>
      </c>
      <c r="J31" s="56">
        <v>2</v>
      </c>
      <c r="K31" s="54">
        <f>3250/3+1500/3</f>
        <v>1583.3333333333333</v>
      </c>
      <c r="L31" s="55"/>
    </row>
    <row r="32" spans="1:12">
      <c r="A32" s="49">
        <v>7</v>
      </c>
      <c r="B32" s="50" t="s">
        <v>51</v>
      </c>
      <c r="C32" s="51"/>
      <c r="D32" s="51"/>
      <c r="E32" s="51"/>
      <c r="F32" s="51"/>
      <c r="G32" s="51"/>
      <c r="H32" s="52"/>
      <c r="I32" s="49" t="s">
        <v>47</v>
      </c>
      <c r="J32" s="56">
        <v>2</v>
      </c>
      <c r="K32" s="54">
        <v>2030</v>
      </c>
      <c r="L32" s="55"/>
    </row>
    <row r="33" spans="1:12" ht="17.25">
      <c r="A33" s="49">
        <v>8</v>
      </c>
      <c r="B33" s="50" t="s">
        <v>52</v>
      </c>
      <c r="C33" s="51"/>
      <c r="D33" s="51"/>
      <c r="E33" s="51"/>
      <c r="F33" s="51"/>
      <c r="G33" s="51"/>
      <c r="H33" s="52"/>
      <c r="I33" s="49" t="s">
        <v>53</v>
      </c>
      <c r="J33" s="56">
        <v>32</v>
      </c>
      <c r="K33" s="54">
        <f>19364/18835.9*5271.5</f>
        <v>5419.2964498643551</v>
      </c>
      <c r="L33" s="55"/>
    </row>
    <row r="34" spans="1:12">
      <c r="A34" s="49">
        <v>9</v>
      </c>
      <c r="B34" s="50" t="s">
        <v>54</v>
      </c>
      <c r="C34" s="51"/>
      <c r="D34" s="51"/>
      <c r="E34" s="51"/>
      <c r="F34" s="51"/>
      <c r="G34" s="51"/>
      <c r="H34" s="52"/>
      <c r="I34" s="49" t="s">
        <v>47</v>
      </c>
      <c r="J34" s="56">
        <v>5</v>
      </c>
      <c r="K34" s="54">
        <f>3919/3</f>
        <v>1306.3333333333333</v>
      </c>
      <c r="L34" s="55"/>
    </row>
    <row r="35" spans="1:12">
      <c r="A35" s="49">
        <v>10</v>
      </c>
      <c r="B35" s="50" t="s">
        <v>55</v>
      </c>
      <c r="C35" s="51"/>
      <c r="D35" s="51"/>
      <c r="E35" s="51"/>
      <c r="F35" s="51"/>
      <c r="G35" s="51"/>
      <c r="H35" s="52"/>
      <c r="I35" s="49" t="s">
        <v>56</v>
      </c>
      <c r="J35" s="56">
        <v>5</v>
      </c>
      <c r="K35" s="54">
        <f>45000/18835.9*5271.5</f>
        <v>12593.903131785579</v>
      </c>
      <c r="L35" s="55"/>
    </row>
    <row r="36" spans="1:12">
      <c r="A36" s="49">
        <v>12</v>
      </c>
      <c r="B36" s="50" t="s">
        <v>57</v>
      </c>
      <c r="C36" s="51"/>
      <c r="D36" s="51"/>
      <c r="E36" s="51"/>
      <c r="F36" s="51"/>
      <c r="G36" s="51"/>
      <c r="H36" s="52"/>
      <c r="I36" s="49" t="s">
        <v>58</v>
      </c>
      <c r="J36" s="49">
        <v>5</v>
      </c>
      <c r="K36" s="54">
        <v>1200</v>
      </c>
      <c r="L36" s="55"/>
    </row>
    <row r="37" spans="1:12">
      <c r="A37" s="49">
        <v>13</v>
      </c>
      <c r="B37" s="50" t="s">
        <v>59</v>
      </c>
      <c r="C37" s="51"/>
      <c r="D37" s="51"/>
      <c r="E37" s="51"/>
      <c r="F37" s="51"/>
      <c r="G37" s="51"/>
      <c r="H37" s="52"/>
      <c r="I37" s="49" t="s">
        <v>47</v>
      </c>
      <c r="J37" s="56">
        <v>18</v>
      </c>
      <c r="K37" s="54">
        <f>320.55*18</f>
        <v>5769.9000000000005</v>
      </c>
      <c r="L37" s="55"/>
    </row>
    <row r="38" spans="1:12" ht="17.25">
      <c r="A38" s="49">
        <v>14</v>
      </c>
      <c r="B38" s="50" t="s">
        <v>60</v>
      </c>
      <c r="C38" s="51"/>
      <c r="D38" s="51"/>
      <c r="E38" s="51"/>
      <c r="F38" s="51"/>
      <c r="G38" s="51"/>
      <c r="H38" s="52"/>
      <c r="I38" s="49" t="s">
        <v>61</v>
      </c>
      <c r="J38" s="53">
        <v>870.3</v>
      </c>
      <c r="K38" s="54">
        <v>5970</v>
      </c>
      <c r="L38" s="55"/>
    </row>
    <row r="39" spans="1:12">
      <c r="A39" s="49">
        <v>15</v>
      </c>
      <c r="B39" s="50" t="s">
        <v>62</v>
      </c>
      <c r="C39" s="51"/>
      <c r="D39" s="51"/>
      <c r="E39" s="51"/>
      <c r="F39" s="51"/>
      <c r="G39" s="51"/>
      <c r="H39" s="52"/>
      <c r="I39" s="49" t="s">
        <v>47</v>
      </c>
      <c r="J39" s="53">
        <v>1</v>
      </c>
      <c r="K39" s="54">
        <v>3848.3</v>
      </c>
      <c r="L39" s="55"/>
    </row>
    <row r="40" spans="1:12">
      <c r="A40" s="49">
        <v>16</v>
      </c>
      <c r="B40" s="50" t="s">
        <v>63</v>
      </c>
      <c r="C40" s="51"/>
      <c r="D40" s="51"/>
      <c r="E40" s="51"/>
      <c r="F40" s="51"/>
      <c r="G40" s="51"/>
      <c r="H40" s="52"/>
      <c r="I40" s="49" t="s">
        <v>47</v>
      </c>
      <c r="J40" s="53">
        <v>2</v>
      </c>
      <c r="K40" s="54">
        <f>2070+3000</f>
        <v>5070</v>
      </c>
      <c r="L40" s="55"/>
    </row>
    <row r="41" spans="1:12">
      <c r="A41" s="49">
        <v>17</v>
      </c>
      <c r="B41" s="50" t="s">
        <v>64</v>
      </c>
      <c r="C41" s="51"/>
      <c r="D41" s="51"/>
      <c r="E41" s="51"/>
      <c r="F41" s="51"/>
      <c r="G41" s="51"/>
      <c r="H41" s="52"/>
      <c r="I41" s="49" t="s">
        <v>47</v>
      </c>
      <c r="J41" s="53">
        <v>4</v>
      </c>
      <c r="K41" s="54">
        <f>6560+3750</f>
        <v>10310</v>
      </c>
      <c r="L41" s="55"/>
    </row>
    <row r="42" spans="1:12">
      <c r="A42" s="49">
        <v>18</v>
      </c>
      <c r="B42" s="50" t="s">
        <v>65</v>
      </c>
      <c r="C42" s="51"/>
      <c r="D42" s="51"/>
      <c r="E42" s="51"/>
      <c r="F42" s="51"/>
      <c r="G42" s="51"/>
      <c r="H42" s="52"/>
      <c r="I42" s="49" t="s">
        <v>47</v>
      </c>
      <c r="J42" s="53">
        <f>4+6</f>
        <v>10</v>
      </c>
      <c r="K42" s="54">
        <v>824</v>
      </c>
      <c r="L42" s="55"/>
    </row>
    <row r="43" spans="1:12">
      <c r="A43" s="49">
        <v>19</v>
      </c>
      <c r="B43" s="50" t="s">
        <v>66</v>
      </c>
      <c r="C43" s="51"/>
      <c r="D43" s="51"/>
      <c r="E43" s="51"/>
      <c r="F43" s="51"/>
      <c r="G43" s="51"/>
      <c r="H43" s="52"/>
      <c r="I43" s="49" t="s">
        <v>58</v>
      </c>
      <c r="J43" s="53">
        <f>20/2</f>
        <v>10</v>
      </c>
      <c r="K43" s="54">
        <f>255+7800/2</f>
        <v>4155</v>
      </c>
      <c r="L43" s="55"/>
    </row>
    <row r="44" spans="1:12">
      <c r="A44" s="49">
        <v>20</v>
      </c>
      <c r="B44" s="50" t="s">
        <v>67</v>
      </c>
      <c r="C44" s="51"/>
      <c r="D44" s="51"/>
      <c r="E44" s="51"/>
      <c r="F44" s="51"/>
      <c r="G44" s="51"/>
      <c r="H44" s="52"/>
      <c r="I44" s="49" t="s">
        <v>68</v>
      </c>
      <c r="J44" s="49">
        <v>70</v>
      </c>
      <c r="K44" s="54">
        <v>8400</v>
      </c>
      <c r="L44" s="55"/>
    </row>
    <row r="45" spans="1:12">
      <c r="A45" s="49">
        <v>21</v>
      </c>
      <c r="B45" s="50" t="s">
        <v>69</v>
      </c>
      <c r="C45" s="51"/>
      <c r="D45" s="51"/>
      <c r="E45" s="51"/>
      <c r="F45" s="51"/>
      <c r="G45" s="51"/>
      <c r="H45" s="52"/>
      <c r="I45" s="49" t="s">
        <v>47</v>
      </c>
      <c r="J45" s="53">
        <v>1</v>
      </c>
      <c r="K45" s="54">
        <f>(13125.16+18500)/3</f>
        <v>10541.72</v>
      </c>
      <c r="L45" s="55"/>
    </row>
    <row r="46" spans="1:12">
      <c r="A46" s="49">
        <v>22</v>
      </c>
      <c r="B46" s="50" t="s">
        <v>70</v>
      </c>
      <c r="C46" s="51"/>
      <c r="D46" s="51"/>
      <c r="E46" s="51"/>
      <c r="F46" s="51"/>
      <c r="G46" s="51"/>
      <c r="H46" s="52"/>
      <c r="I46" s="49" t="s">
        <v>47</v>
      </c>
      <c r="J46" s="53">
        <v>30</v>
      </c>
      <c r="K46" s="54">
        <f>9390/3</f>
        <v>3130</v>
      </c>
      <c r="L46" s="55"/>
    </row>
    <row r="47" spans="1:12">
      <c r="A47" s="49">
        <v>23</v>
      </c>
      <c r="B47" s="50" t="s">
        <v>71</v>
      </c>
      <c r="C47" s="51"/>
      <c r="D47" s="51"/>
      <c r="E47" s="51"/>
      <c r="F47" s="51"/>
      <c r="G47" s="51"/>
      <c r="H47" s="52"/>
      <c r="I47" s="49" t="s">
        <v>47</v>
      </c>
      <c r="J47" s="53">
        <v>1</v>
      </c>
      <c r="K47" s="54">
        <v>8000</v>
      </c>
      <c r="L47" s="55"/>
    </row>
    <row r="48" spans="1:12">
      <c r="A48" s="49">
        <v>24</v>
      </c>
      <c r="B48" s="50" t="s">
        <v>72</v>
      </c>
      <c r="C48" s="51"/>
      <c r="D48" s="51"/>
      <c r="E48" s="51"/>
      <c r="F48" s="51"/>
      <c r="G48" s="51"/>
      <c r="H48" s="52"/>
      <c r="I48" s="49" t="s">
        <v>73</v>
      </c>
      <c r="J48" s="53">
        <v>1</v>
      </c>
      <c r="K48" s="54">
        <f>6432/32</f>
        <v>201</v>
      </c>
      <c r="L48" s="55"/>
    </row>
    <row r="49" spans="1:12">
      <c r="A49" s="49">
        <v>25</v>
      </c>
      <c r="B49" s="50" t="s">
        <v>74</v>
      </c>
      <c r="C49" s="51"/>
      <c r="D49" s="51"/>
      <c r="E49" s="51"/>
      <c r="F49" s="51"/>
      <c r="G49" s="51"/>
      <c r="H49" s="52"/>
      <c r="I49" s="49" t="s">
        <v>75</v>
      </c>
      <c r="J49" s="53">
        <v>78.48</v>
      </c>
      <c r="K49" s="54">
        <f>16515.44*0.295</f>
        <v>4872.054799999999</v>
      </c>
      <c r="L49" s="55"/>
    </row>
    <row r="50" spans="1:12">
      <c r="A50" s="49">
        <v>26</v>
      </c>
      <c r="B50" s="50" t="s">
        <v>76</v>
      </c>
      <c r="C50" s="51"/>
      <c r="D50" s="51"/>
      <c r="E50" s="51"/>
      <c r="F50" s="51"/>
      <c r="G50" s="51"/>
      <c r="H50" s="52"/>
      <c r="I50" s="49" t="s">
        <v>75</v>
      </c>
      <c r="J50" s="57">
        <v>40</v>
      </c>
      <c r="K50" s="54">
        <f>8479.95*0.295</f>
        <v>2501.5852500000001</v>
      </c>
      <c r="L50" s="55"/>
    </row>
    <row r="51" spans="1:12">
      <c r="A51" s="49">
        <v>27</v>
      </c>
      <c r="B51" s="50" t="s">
        <v>77</v>
      </c>
      <c r="C51" s="51"/>
      <c r="D51" s="51"/>
      <c r="E51" s="51"/>
      <c r="F51" s="51"/>
      <c r="G51" s="51"/>
      <c r="H51" s="52"/>
      <c r="I51" s="49" t="s">
        <v>47</v>
      </c>
      <c r="J51" s="57">
        <v>2</v>
      </c>
      <c r="K51" s="54">
        <f>6000+7332.5</f>
        <v>13332.5</v>
      </c>
      <c r="L51" s="55"/>
    </row>
    <row r="52" spans="1:12">
      <c r="A52" s="49">
        <v>28</v>
      </c>
      <c r="B52" s="50" t="s">
        <v>78</v>
      </c>
      <c r="C52" s="51"/>
      <c r="D52" s="51"/>
      <c r="E52" s="51"/>
      <c r="F52" s="51"/>
      <c r="G52" s="51"/>
      <c r="H52" s="52"/>
      <c r="I52" s="49" t="s">
        <v>79</v>
      </c>
      <c r="J52" s="53">
        <f>17+7+2</f>
        <v>26</v>
      </c>
      <c r="K52" s="54">
        <f>35000*0.2302</f>
        <v>8057</v>
      </c>
      <c r="L52" s="55"/>
    </row>
    <row r="53" spans="1:12">
      <c r="A53" s="49">
        <v>29</v>
      </c>
      <c r="B53" s="50" t="s">
        <v>80</v>
      </c>
      <c r="C53" s="51"/>
      <c r="D53" s="51"/>
      <c r="E53" s="51"/>
      <c r="F53" s="51"/>
      <c r="G53" s="51"/>
      <c r="H53" s="52"/>
      <c r="I53" s="49" t="s">
        <v>47</v>
      </c>
      <c r="J53" s="53">
        <v>2</v>
      </c>
      <c r="K53" s="54">
        <v>13000</v>
      </c>
      <c r="L53" s="55"/>
    </row>
    <row r="54" spans="1:12">
      <c r="A54" s="49">
        <v>30</v>
      </c>
      <c r="B54" s="50" t="s">
        <v>81</v>
      </c>
      <c r="C54" s="51"/>
      <c r="D54" s="51"/>
      <c r="E54" s="51"/>
      <c r="F54" s="51"/>
      <c r="G54" s="51"/>
      <c r="H54" s="52"/>
      <c r="I54" s="49" t="s">
        <v>47</v>
      </c>
      <c r="J54" s="53">
        <v>1</v>
      </c>
      <c r="K54" s="54">
        <f>7796/4</f>
        <v>1949</v>
      </c>
      <c r="L54" s="55"/>
    </row>
    <row r="55" spans="1:12">
      <c r="A55" s="49"/>
      <c r="B55" s="50" t="s">
        <v>82</v>
      </c>
      <c r="C55" s="51"/>
      <c r="D55" s="51"/>
      <c r="E55" s="51"/>
      <c r="F55" s="51"/>
      <c r="G55" s="51"/>
      <c r="H55" s="51"/>
      <c r="I55" s="49"/>
      <c r="J55" s="53"/>
      <c r="K55" s="58">
        <f>SUM(K27:L54)</f>
        <v>142239.5862983166</v>
      </c>
      <c r="L55" s="59"/>
    </row>
    <row r="56" spans="1:12">
      <c r="A56" s="49"/>
      <c r="B56" s="50" t="s">
        <v>83</v>
      </c>
      <c r="C56" s="51"/>
      <c r="D56" s="51"/>
      <c r="E56" s="51"/>
      <c r="F56" s="51"/>
      <c r="G56" s="51"/>
      <c r="H56" s="51"/>
      <c r="I56" s="49"/>
      <c r="J56" s="53"/>
      <c r="K56" s="60">
        <f>K55*0.14</f>
        <v>19913.542081764324</v>
      </c>
      <c r="L56" s="61"/>
    </row>
    <row r="57" spans="1:12" ht="15.75" thickBot="1">
      <c r="A57" s="49"/>
      <c r="B57" s="1" t="s">
        <v>84</v>
      </c>
      <c r="I57" s="62"/>
      <c r="K57" s="63">
        <f>SUM(K55:L56)</f>
        <v>162153.12838008092</v>
      </c>
      <c r="L57" s="64"/>
    </row>
    <row r="58" spans="1:12" ht="16.5" thickBot="1">
      <c r="A58" s="65"/>
      <c r="B58" s="66" t="s">
        <v>85</v>
      </c>
      <c r="C58" s="46"/>
      <c r="D58" s="46"/>
      <c r="E58" s="46"/>
      <c r="F58" s="46"/>
      <c r="G58" s="46"/>
      <c r="H58" s="67"/>
      <c r="I58" s="65"/>
      <c r="J58" s="65"/>
      <c r="K58" s="68">
        <f>K57+K26</f>
        <v>334348.89238890301</v>
      </c>
      <c r="L58" s="69"/>
    </row>
    <row r="59" spans="1:12">
      <c r="A59" s="1" t="s">
        <v>86</v>
      </c>
    </row>
    <row r="60" spans="1:12">
      <c r="A60" s="1" t="s">
        <v>87</v>
      </c>
      <c r="D60" s="10">
        <v>2013</v>
      </c>
      <c r="E60" s="1" t="s">
        <v>88</v>
      </c>
      <c r="G60" s="70">
        <f>K58-G21</f>
        <v>37976.480738417536</v>
      </c>
      <c r="H60" s="1" t="s">
        <v>89</v>
      </c>
      <c r="J60" s="1">
        <v>235660.21</v>
      </c>
    </row>
    <row r="61" spans="1:12" ht="15.75" thickBot="1">
      <c r="A61" s="1" t="s">
        <v>90</v>
      </c>
      <c r="B61" s="10">
        <f>J4</f>
        <v>2013</v>
      </c>
      <c r="C61" s="1" t="s">
        <v>91</v>
      </c>
    </row>
    <row r="62" spans="1:12">
      <c r="A62" s="71" t="s">
        <v>2</v>
      </c>
      <c r="B62" s="72" t="s">
        <v>92</v>
      </c>
      <c r="C62" s="73"/>
      <c r="D62" s="73"/>
      <c r="E62" s="74"/>
      <c r="F62" s="72" t="s">
        <v>93</v>
      </c>
      <c r="G62" s="73"/>
      <c r="H62" s="74"/>
      <c r="I62" s="72" t="s">
        <v>94</v>
      </c>
      <c r="J62" s="73"/>
      <c r="K62" s="73"/>
      <c r="L62" s="74"/>
    </row>
    <row r="63" spans="1:12" ht="15.75" thickBot="1">
      <c r="A63" s="75"/>
      <c r="B63" s="76"/>
      <c r="C63" s="77"/>
      <c r="D63" s="77"/>
      <c r="E63" s="78"/>
      <c r="F63" s="76"/>
      <c r="G63" s="77"/>
      <c r="H63" s="78"/>
      <c r="I63" s="76" t="s">
        <v>95</v>
      </c>
      <c r="J63" s="77"/>
      <c r="K63" s="77"/>
      <c r="L63" s="78"/>
    </row>
    <row r="64" spans="1:12">
      <c r="A64" s="79" t="s">
        <v>96</v>
      </c>
      <c r="B64" s="80" t="s">
        <v>97</v>
      </c>
      <c r="C64" s="81"/>
      <c r="D64" s="81"/>
      <c r="E64" s="82"/>
      <c r="F64" s="83" t="s">
        <v>98</v>
      </c>
      <c r="G64" s="84"/>
      <c r="H64" s="85"/>
      <c r="I64" s="83" t="s">
        <v>99</v>
      </c>
      <c r="J64" s="84"/>
      <c r="K64" s="84"/>
      <c r="L64" s="85"/>
    </row>
    <row r="65" spans="1:12">
      <c r="A65" s="86" t="s">
        <v>100</v>
      </c>
      <c r="B65" s="87" t="s">
        <v>101</v>
      </c>
      <c r="C65" s="88"/>
      <c r="D65" s="88"/>
      <c r="E65" s="89"/>
      <c r="F65" s="90" t="s">
        <v>102</v>
      </c>
      <c r="G65" s="91"/>
      <c r="H65" s="92"/>
      <c r="I65" s="90" t="s">
        <v>103</v>
      </c>
      <c r="J65" s="91"/>
      <c r="K65" s="91"/>
      <c r="L65" s="92"/>
    </row>
    <row r="66" spans="1:12">
      <c r="A66" s="86" t="s">
        <v>104</v>
      </c>
      <c r="B66" s="87" t="s">
        <v>105</v>
      </c>
      <c r="C66" s="88"/>
      <c r="D66" s="88"/>
      <c r="E66" s="89"/>
      <c r="F66" s="90" t="s">
        <v>106</v>
      </c>
      <c r="G66" s="91"/>
      <c r="H66" s="92"/>
      <c r="I66" s="90" t="s">
        <v>107</v>
      </c>
      <c r="J66" s="91"/>
      <c r="K66" s="91"/>
      <c r="L66" s="92"/>
    </row>
    <row r="67" spans="1:12">
      <c r="A67" s="86" t="s">
        <v>108</v>
      </c>
      <c r="B67" s="87" t="s">
        <v>109</v>
      </c>
      <c r="C67" s="88"/>
      <c r="D67" s="88"/>
      <c r="E67" s="89"/>
      <c r="F67" s="90" t="s">
        <v>110</v>
      </c>
      <c r="G67" s="91"/>
      <c r="H67" s="92"/>
      <c r="I67" s="90" t="s">
        <v>111</v>
      </c>
      <c r="J67" s="91"/>
      <c r="K67" s="91"/>
      <c r="L67" s="92"/>
    </row>
    <row r="68" spans="1:12">
      <c r="A68" s="86" t="s">
        <v>112</v>
      </c>
      <c r="B68" s="87" t="s">
        <v>113</v>
      </c>
      <c r="C68" s="88"/>
      <c r="D68" s="88"/>
      <c r="E68" s="89"/>
      <c r="F68" s="90" t="s">
        <v>114</v>
      </c>
      <c r="G68" s="91"/>
      <c r="H68" s="92"/>
      <c r="I68" s="90" t="s">
        <v>115</v>
      </c>
      <c r="J68" s="91"/>
      <c r="K68" s="91"/>
      <c r="L68" s="92"/>
    </row>
    <row r="69" spans="1:12" ht="15.75" thickBot="1">
      <c r="A69" s="93" t="s">
        <v>116</v>
      </c>
      <c r="B69" s="94" t="s">
        <v>117</v>
      </c>
      <c r="C69" s="95"/>
      <c r="D69" s="95"/>
      <c r="E69" s="96"/>
      <c r="F69" s="97" t="s">
        <v>118</v>
      </c>
      <c r="G69" s="98"/>
      <c r="H69" s="99"/>
      <c r="I69" s="97" t="s">
        <v>119</v>
      </c>
      <c r="J69" s="98"/>
      <c r="K69" s="98"/>
      <c r="L69" s="99"/>
    </row>
    <row r="70" spans="1:12">
      <c r="A70" s="100" t="s">
        <v>120</v>
      </c>
      <c r="B70" s="101">
        <f>J4+1</f>
        <v>2014</v>
      </c>
      <c r="C70" s="102" t="s">
        <v>121</v>
      </c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2">
      <c r="A71" s="103" t="s">
        <v>122</v>
      </c>
    </row>
    <row r="72" spans="1:12">
      <c r="A72" s="103" t="s">
        <v>123</v>
      </c>
      <c r="F72" s="16">
        <f>H91</f>
        <v>4.3318253077317568</v>
      </c>
      <c r="G72" s="1" t="s">
        <v>124</v>
      </c>
    </row>
    <row r="73" spans="1:12">
      <c r="A73" s="103" t="s">
        <v>125</v>
      </c>
      <c r="E73" s="10">
        <v>2013</v>
      </c>
      <c r="F73" s="1" t="s">
        <v>126</v>
      </c>
      <c r="K73" s="21" t="s">
        <v>151</v>
      </c>
    </row>
    <row r="74" spans="1:12">
      <c r="A74" s="103" t="s">
        <v>127</v>
      </c>
    </row>
    <row r="75" spans="1:12">
      <c r="A75" s="103" t="s">
        <v>128</v>
      </c>
    </row>
    <row r="76" spans="1:12">
      <c r="A76" s="103" t="s">
        <v>129</v>
      </c>
    </row>
    <row r="77" spans="1:12">
      <c r="A77" s="103" t="s">
        <v>130</v>
      </c>
    </row>
    <row r="78" spans="1:12">
      <c r="D78" s="10"/>
      <c r="G78" s="70"/>
    </row>
    <row r="79" spans="1:12">
      <c r="A79" s="103" t="s">
        <v>131</v>
      </c>
      <c r="B79" s="10">
        <f>J4+1</f>
        <v>2014</v>
      </c>
      <c r="C79" s="1" t="s">
        <v>132</v>
      </c>
    </row>
    <row r="80" spans="1:12">
      <c r="A80" s="103" t="s">
        <v>133</v>
      </c>
    </row>
    <row r="81" spans="1:11">
      <c r="A81" s="103" t="s">
        <v>134</v>
      </c>
      <c r="J81" s="19">
        <v>95000</v>
      </c>
      <c r="K81" s="1" t="s">
        <v>16</v>
      </c>
    </row>
    <row r="82" spans="1:11">
      <c r="A82" s="103" t="s">
        <v>135</v>
      </c>
      <c r="J82" s="19">
        <v>1000</v>
      </c>
      <c r="K82" s="1" t="s">
        <v>16</v>
      </c>
    </row>
    <row r="83" spans="1:11">
      <c r="A83" s="103" t="s">
        <v>136</v>
      </c>
      <c r="J83" s="19">
        <v>30000</v>
      </c>
      <c r="K83" s="1" t="s">
        <v>16</v>
      </c>
    </row>
    <row r="84" spans="1:11">
      <c r="A84" s="103" t="s">
        <v>137</v>
      </c>
      <c r="J84" s="19">
        <v>15000</v>
      </c>
      <c r="K84" s="1" t="s">
        <v>16</v>
      </c>
    </row>
    <row r="85" spans="1:11">
      <c r="A85" s="103" t="s">
        <v>138</v>
      </c>
      <c r="J85" s="19">
        <v>40000</v>
      </c>
      <c r="K85" s="1" t="s">
        <v>16</v>
      </c>
    </row>
    <row r="86" spans="1:11">
      <c r="A86" s="103" t="s">
        <v>139</v>
      </c>
      <c r="J86" s="19">
        <v>30000</v>
      </c>
      <c r="K86" s="1" t="s">
        <v>16</v>
      </c>
    </row>
    <row r="87" spans="1:11">
      <c r="A87" s="103" t="s">
        <v>140</v>
      </c>
      <c r="J87" s="19">
        <v>30000</v>
      </c>
      <c r="K87" s="1" t="s">
        <v>16</v>
      </c>
    </row>
    <row r="88" spans="1:11">
      <c r="A88" s="103"/>
      <c r="J88" s="19"/>
    </row>
    <row r="89" spans="1:11">
      <c r="A89" s="104" t="s">
        <v>141</v>
      </c>
      <c r="J89" s="24">
        <f>SUM(J81:J87)</f>
        <v>241000</v>
      </c>
      <c r="K89" s="8" t="s">
        <v>142</v>
      </c>
    </row>
    <row r="90" spans="1:11">
      <c r="A90" s="103" t="s">
        <v>143</v>
      </c>
      <c r="H90" s="10">
        <f>J4</f>
        <v>2013</v>
      </c>
      <c r="I90" s="1" t="s">
        <v>144</v>
      </c>
      <c r="K90" s="24">
        <f>G60</f>
        <v>37976.480738417536</v>
      </c>
    </row>
    <row r="91" spans="1:11">
      <c r="A91" s="103" t="s">
        <v>145</v>
      </c>
      <c r="C91" s="70">
        <f>J89+K90</f>
        <v>278976.48073841754</v>
      </c>
      <c r="D91" s="10" t="s">
        <v>146</v>
      </c>
      <c r="E91" s="105">
        <v>2013</v>
      </c>
      <c r="F91" s="1" t="s">
        <v>147</v>
      </c>
      <c r="H91" s="16">
        <f>C91/(E6*12)</f>
        <v>4.3318253077317568</v>
      </c>
      <c r="I91" s="1" t="s">
        <v>148</v>
      </c>
    </row>
    <row r="92" spans="1:11">
      <c r="A92" s="103"/>
      <c r="C92" s="70"/>
      <c r="D92" s="10"/>
      <c r="E92" s="105"/>
      <c r="H92" s="16"/>
    </row>
    <row r="93" spans="1:11">
      <c r="B93" s="1" t="s">
        <v>149</v>
      </c>
    </row>
    <row r="94" spans="1:11">
      <c r="B94" s="1" t="s">
        <v>93</v>
      </c>
      <c r="I94" s="1" t="s">
        <v>150</v>
      </c>
      <c r="K94" s="2"/>
    </row>
    <row r="96" spans="1:1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101" spans="11:11">
      <c r="K101" s="2"/>
    </row>
  </sheetData>
  <mergeCells count="114">
    <mergeCell ref="B69:E69"/>
    <mergeCell ref="F69:H69"/>
    <mergeCell ref="I69:L69"/>
    <mergeCell ref="A96:K96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B56:H56"/>
    <mergeCell ref="K56:L56"/>
    <mergeCell ref="K57:L57"/>
    <mergeCell ref="K58:L58"/>
    <mergeCell ref="B62:E62"/>
    <mergeCell ref="F62:H62"/>
    <mergeCell ref="I62:L62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A22:B22"/>
    <mergeCell ref="K22:L22"/>
    <mergeCell ref="A23:I23"/>
    <mergeCell ref="B24:H24"/>
    <mergeCell ref="K24:L24"/>
    <mergeCell ref="B25:H25"/>
    <mergeCell ref="K25:L25"/>
    <mergeCell ref="K15:L15"/>
    <mergeCell ref="K16:L16"/>
    <mergeCell ref="K17:L17"/>
    <mergeCell ref="K18:L18"/>
    <mergeCell ref="K19:L19"/>
    <mergeCell ref="K21:L21"/>
    <mergeCell ref="K8:L8"/>
    <mergeCell ref="K9:L9"/>
    <mergeCell ref="K11:L11"/>
    <mergeCell ref="K12:L12"/>
    <mergeCell ref="K13:L13"/>
    <mergeCell ref="K14:L14"/>
    <mergeCell ref="A2:L2"/>
    <mergeCell ref="A3:L3"/>
    <mergeCell ref="C5:J5"/>
    <mergeCell ref="K6:L6"/>
    <mergeCell ref="A7:B7"/>
    <mergeCell ref="K7:L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2014-04-11T00:58:46Z</dcterms:modified>
</cp:coreProperties>
</file>