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3\"/>
    </mc:Choice>
  </mc:AlternateContent>
  <bookViews>
    <workbookView xWindow="480" yWindow="135" windowWidth="18195" windowHeight="11760"/>
  </bookViews>
  <sheets>
    <sheet name="2014" sheetId="4" r:id="rId1"/>
  </sheets>
  <calcPr calcId="152511" refMode="R1C1"/>
</workbook>
</file>

<file path=xl/calcChain.xml><?xml version="1.0" encoding="utf-8"?>
<calcChain xmlns="http://schemas.openxmlformats.org/spreadsheetml/2006/main">
  <c r="G41" i="4" l="1"/>
  <c r="H41" i="4"/>
  <c r="I41" i="4"/>
  <c r="G42" i="4"/>
  <c r="H42" i="4"/>
  <c r="I42" i="4"/>
  <c r="G43" i="4"/>
  <c r="H43" i="4"/>
  <c r="I43" i="4"/>
  <c r="G44" i="4"/>
  <c r="H44" i="4"/>
  <c r="I44" i="4"/>
  <c r="G45" i="4"/>
  <c r="H45" i="4"/>
  <c r="I45" i="4"/>
  <c r="G46" i="4"/>
  <c r="H46" i="4"/>
  <c r="I46" i="4"/>
  <c r="G47" i="4"/>
  <c r="H47" i="4"/>
  <c r="I47" i="4"/>
  <c r="G48" i="4"/>
  <c r="H48" i="4"/>
  <c r="I48" i="4"/>
  <c r="G49" i="4"/>
  <c r="H49" i="4"/>
  <c r="I49" i="4"/>
  <c r="G50" i="4"/>
  <c r="H50" i="4"/>
  <c r="I50" i="4"/>
  <c r="G51" i="4"/>
  <c r="H51" i="4"/>
  <c r="I51" i="4"/>
  <c r="I40" i="4"/>
  <c r="H40" i="4"/>
  <c r="G40" i="4"/>
  <c r="J41" i="4"/>
  <c r="J42" i="4"/>
  <c r="J43" i="4"/>
  <c r="J44" i="4"/>
  <c r="J45" i="4"/>
  <c r="J46" i="4"/>
  <c r="J47" i="4"/>
  <c r="J48" i="4"/>
  <c r="J49" i="4"/>
  <c r="J50" i="4"/>
  <c r="J51" i="4"/>
  <c r="J40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G30" i="4"/>
  <c r="H30" i="4"/>
  <c r="I30" i="4"/>
  <c r="G31" i="4"/>
  <c r="H31" i="4"/>
  <c r="I31" i="4"/>
  <c r="G32" i="4"/>
  <c r="H32" i="4"/>
  <c r="I32" i="4"/>
  <c r="G33" i="4"/>
  <c r="H33" i="4"/>
  <c r="I33" i="4"/>
  <c r="G34" i="4"/>
  <c r="H34" i="4"/>
  <c r="I34" i="4"/>
  <c r="I23" i="4"/>
  <c r="H23" i="4"/>
  <c r="G23" i="4"/>
  <c r="J24" i="4" l="1"/>
  <c r="J25" i="4"/>
  <c r="J26" i="4"/>
  <c r="J27" i="4"/>
  <c r="J28" i="4"/>
  <c r="J29" i="4"/>
  <c r="J30" i="4"/>
  <c r="J31" i="4"/>
  <c r="J32" i="4"/>
  <c r="J33" i="4"/>
  <c r="J34" i="4"/>
  <c r="J23" i="4"/>
  <c r="G17" i="4"/>
  <c r="H17" i="4"/>
  <c r="I17" i="4"/>
  <c r="G6" i="4"/>
  <c r="H6" i="4"/>
  <c r="I6" i="4"/>
  <c r="G7" i="4"/>
  <c r="H7" i="4"/>
  <c r="I7" i="4"/>
  <c r="G8" i="4"/>
  <c r="H8" i="4"/>
  <c r="I8" i="4"/>
  <c r="G9" i="4"/>
  <c r="H9" i="4"/>
  <c r="I9" i="4"/>
  <c r="G10" i="4"/>
  <c r="H10" i="4"/>
  <c r="I10" i="4"/>
  <c r="G11" i="4"/>
  <c r="H11" i="4"/>
  <c r="I11" i="4"/>
  <c r="G12" i="4"/>
  <c r="H12" i="4"/>
  <c r="I12" i="4"/>
  <c r="G13" i="4"/>
  <c r="H13" i="4"/>
  <c r="I13" i="4"/>
  <c r="G14" i="4"/>
  <c r="H14" i="4"/>
  <c r="I14" i="4"/>
  <c r="G15" i="4"/>
  <c r="H15" i="4"/>
  <c r="I15" i="4"/>
  <c r="G16" i="4"/>
  <c r="H16" i="4"/>
  <c r="I16" i="4"/>
  <c r="I5" i="4"/>
  <c r="H5" i="4"/>
  <c r="G5" i="4"/>
  <c r="P41" i="4" l="1"/>
  <c r="Q41" i="4"/>
  <c r="R41" i="4"/>
  <c r="P42" i="4"/>
  <c r="Q42" i="4"/>
  <c r="R42" i="4"/>
  <c r="P43" i="4"/>
  <c r="Q43" i="4"/>
  <c r="R43" i="4"/>
  <c r="P44" i="4"/>
  <c r="Q44" i="4"/>
  <c r="R44" i="4"/>
  <c r="P45" i="4"/>
  <c r="Q45" i="4"/>
  <c r="R45" i="4"/>
  <c r="P46" i="4"/>
  <c r="Q46" i="4"/>
  <c r="R46" i="4"/>
  <c r="P47" i="4"/>
  <c r="Q47" i="4"/>
  <c r="R47" i="4"/>
  <c r="P48" i="4"/>
  <c r="Q48" i="4"/>
  <c r="R48" i="4"/>
  <c r="P49" i="4"/>
  <c r="Q49" i="4"/>
  <c r="R49" i="4"/>
  <c r="P50" i="4"/>
  <c r="Q50" i="4"/>
  <c r="R50" i="4"/>
  <c r="P51" i="4"/>
  <c r="Q51" i="4"/>
  <c r="R51" i="4"/>
  <c r="R40" i="4"/>
  <c r="Q40" i="4"/>
  <c r="P40" i="4"/>
  <c r="K41" i="4"/>
  <c r="L41" i="4"/>
  <c r="M41" i="4"/>
  <c r="K42" i="4"/>
  <c r="L42" i="4"/>
  <c r="M42" i="4"/>
  <c r="K43" i="4"/>
  <c r="L43" i="4"/>
  <c r="M43" i="4"/>
  <c r="K44" i="4"/>
  <c r="L44" i="4"/>
  <c r="M44" i="4"/>
  <c r="K45" i="4"/>
  <c r="L45" i="4"/>
  <c r="M45" i="4"/>
  <c r="K46" i="4"/>
  <c r="L46" i="4"/>
  <c r="M46" i="4"/>
  <c r="K47" i="4"/>
  <c r="L47" i="4"/>
  <c r="M47" i="4"/>
  <c r="K48" i="4"/>
  <c r="L48" i="4"/>
  <c r="M48" i="4"/>
  <c r="K49" i="4"/>
  <c r="L49" i="4"/>
  <c r="M49" i="4"/>
  <c r="K50" i="4"/>
  <c r="L50" i="4"/>
  <c r="M50" i="4"/>
  <c r="K51" i="4"/>
  <c r="L51" i="4"/>
  <c r="M51" i="4"/>
  <c r="M40" i="4"/>
  <c r="L40" i="4"/>
  <c r="K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40" i="4"/>
  <c r="D40" i="4"/>
  <c r="C40" i="4"/>
  <c r="AJ32" i="4"/>
  <c r="AK32" i="4"/>
  <c r="AL32" i="4"/>
  <c r="AJ33" i="4"/>
  <c r="AK33" i="4"/>
  <c r="AL33" i="4"/>
  <c r="AJ34" i="4"/>
  <c r="AK34" i="4"/>
  <c r="AL34" i="4"/>
  <c r="AL31" i="4"/>
  <c r="AK31" i="4"/>
  <c r="AJ31" i="4"/>
  <c r="AF25" i="4"/>
  <c r="AG25" i="4"/>
  <c r="AH25" i="4"/>
  <c r="AF26" i="4"/>
  <c r="AG26" i="4"/>
  <c r="AH26" i="4"/>
  <c r="AF27" i="4"/>
  <c r="AG27" i="4"/>
  <c r="AH27" i="4"/>
  <c r="AF28" i="4"/>
  <c r="AG28" i="4"/>
  <c r="AH28" i="4"/>
  <c r="AF29" i="4"/>
  <c r="AG29" i="4"/>
  <c r="AH29" i="4"/>
  <c r="AF30" i="4"/>
  <c r="AG30" i="4"/>
  <c r="AH30" i="4"/>
  <c r="AF31" i="4"/>
  <c r="AG31" i="4"/>
  <c r="AH31" i="4"/>
  <c r="AF32" i="4"/>
  <c r="AG32" i="4"/>
  <c r="AH32" i="4"/>
  <c r="AF33" i="4"/>
  <c r="AG33" i="4"/>
  <c r="AH33" i="4"/>
  <c r="AF34" i="4"/>
  <c r="AG34" i="4"/>
  <c r="AH34" i="4"/>
  <c r="AH24" i="4"/>
  <c r="AG24" i="4"/>
  <c r="AF24" i="4"/>
  <c r="AD24" i="4"/>
  <c r="AD25" i="4"/>
  <c r="AD26" i="4"/>
  <c r="AD27" i="4"/>
  <c r="AD28" i="4"/>
  <c r="AD29" i="4"/>
  <c r="AD30" i="4"/>
  <c r="AD31" i="4"/>
  <c r="AD32" i="4"/>
  <c r="AD33" i="4"/>
  <c r="AD34" i="4"/>
  <c r="AD23" i="4"/>
  <c r="AB24" i="4"/>
  <c r="AC24" i="4"/>
  <c r="AB25" i="4"/>
  <c r="AC25" i="4"/>
  <c r="AB26" i="4"/>
  <c r="AC26" i="4"/>
  <c r="AB27" i="4"/>
  <c r="AC27" i="4"/>
  <c r="AB28" i="4"/>
  <c r="AC28" i="4"/>
  <c r="AB29" i="4"/>
  <c r="AC29" i="4"/>
  <c r="AB30" i="4"/>
  <c r="AC30" i="4"/>
  <c r="AB31" i="4"/>
  <c r="AC31" i="4"/>
  <c r="AB32" i="4"/>
  <c r="AC32" i="4"/>
  <c r="AB33" i="4"/>
  <c r="AC33" i="4"/>
  <c r="AB34" i="4"/>
  <c r="AC34" i="4"/>
  <c r="AC23" i="4"/>
  <c r="AB23" i="4"/>
  <c r="T24" i="4"/>
  <c r="U24" i="4"/>
  <c r="V24" i="4"/>
  <c r="T25" i="4"/>
  <c r="U25" i="4"/>
  <c r="V25" i="4"/>
  <c r="T26" i="4"/>
  <c r="U26" i="4"/>
  <c r="V26" i="4"/>
  <c r="T27" i="4"/>
  <c r="U27" i="4"/>
  <c r="V27" i="4"/>
  <c r="T28" i="4"/>
  <c r="U28" i="4"/>
  <c r="V28" i="4"/>
  <c r="T29" i="4"/>
  <c r="U29" i="4"/>
  <c r="V29" i="4"/>
  <c r="T30" i="4"/>
  <c r="U30" i="4"/>
  <c r="V30" i="4"/>
  <c r="T31" i="4"/>
  <c r="U31" i="4"/>
  <c r="V31" i="4"/>
  <c r="T32" i="4"/>
  <c r="U32" i="4"/>
  <c r="V32" i="4"/>
  <c r="T33" i="4"/>
  <c r="U33" i="4"/>
  <c r="V33" i="4"/>
  <c r="T34" i="4"/>
  <c r="U34" i="4"/>
  <c r="V34" i="4"/>
  <c r="V23" i="4"/>
  <c r="U23" i="4"/>
  <c r="T23" i="4"/>
  <c r="P24" i="4"/>
  <c r="Q24" i="4"/>
  <c r="R24" i="4"/>
  <c r="P25" i="4"/>
  <c r="Q25" i="4"/>
  <c r="R25" i="4"/>
  <c r="P26" i="4"/>
  <c r="Q26" i="4"/>
  <c r="R26" i="4"/>
  <c r="P27" i="4"/>
  <c r="Q27" i="4"/>
  <c r="R27" i="4"/>
  <c r="P28" i="4"/>
  <c r="Q28" i="4"/>
  <c r="R28" i="4"/>
  <c r="P29" i="4"/>
  <c r="Q29" i="4"/>
  <c r="R29" i="4"/>
  <c r="P30" i="4"/>
  <c r="Q30" i="4"/>
  <c r="R30" i="4"/>
  <c r="P31" i="4"/>
  <c r="Q31" i="4"/>
  <c r="R31" i="4"/>
  <c r="P32" i="4"/>
  <c r="Q32" i="4"/>
  <c r="R32" i="4"/>
  <c r="P33" i="4"/>
  <c r="Q33" i="4"/>
  <c r="R33" i="4"/>
  <c r="P34" i="4"/>
  <c r="Q34" i="4"/>
  <c r="R34" i="4"/>
  <c r="R23" i="4"/>
  <c r="Q23" i="4"/>
  <c r="P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M23" i="4"/>
  <c r="L23" i="4"/>
  <c r="K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E23" i="4"/>
  <c r="D23" i="4"/>
  <c r="C23" i="4"/>
  <c r="AF6" i="4"/>
  <c r="AG6" i="4"/>
  <c r="AH6" i="4"/>
  <c r="AF7" i="4"/>
  <c r="AG7" i="4"/>
  <c r="AH7" i="4"/>
  <c r="AF8" i="4"/>
  <c r="AG8" i="4"/>
  <c r="AH8" i="4"/>
  <c r="AF9" i="4"/>
  <c r="AG9" i="4"/>
  <c r="AH9" i="4"/>
  <c r="AF10" i="4"/>
  <c r="AG10" i="4"/>
  <c r="AH10" i="4"/>
  <c r="AF11" i="4"/>
  <c r="AG11" i="4"/>
  <c r="AH11" i="4"/>
  <c r="AF12" i="4"/>
  <c r="AG12" i="4"/>
  <c r="AH12" i="4"/>
  <c r="AF13" i="4"/>
  <c r="AG13" i="4"/>
  <c r="AH13" i="4"/>
  <c r="AF14" i="4"/>
  <c r="AG14" i="4"/>
  <c r="AH14" i="4"/>
  <c r="AF15" i="4"/>
  <c r="AG15" i="4"/>
  <c r="AH15" i="4"/>
  <c r="AF16" i="4"/>
  <c r="AG16" i="4"/>
  <c r="AH16" i="4"/>
  <c r="AH5" i="4"/>
  <c r="AG5" i="4"/>
  <c r="AF5" i="4"/>
  <c r="AB6" i="4"/>
  <c r="AC6" i="4"/>
  <c r="AD6" i="4"/>
  <c r="AB7" i="4"/>
  <c r="AC7" i="4"/>
  <c r="AD7" i="4"/>
  <c r="AB8" i="4"/>
  <c r="AC8" i="4"/>
  <c r="AD8" i="4"/>
  <c r="AB9" i="4"/>
  <c r="AC9" i="4"/>
  <c r="AD9" i="4"/>
  <c r="AB10" i="4"/>
  <c r="AC10" i="4"/>
  <c r="AD10" i="4"/>
  <c r="AB11" i="4"/>
  <c r="AC11" i="4"/>
  <c r="AD11" i="4"/>
  <c r="AB12" i="4"/>
  <c r="AC12" i="4"/>
  <c r="AD12" i="4"/>
  <c r="AB13" i="4"/>
  <c r="AC13" i="4"/>
  <c r="AD13" i="4"/>
  <c r="AB14" i="4"/>
  <c r="AC14" i="4"/>
  <c r="AD14" i="4"/>
  <c r="AB15" i="4"/>
  <c r="AC15" i="4"/>
  <c r="AD15" i="4"/>
  <c r="AB16" i="4"/>
  <c r="AC16" i="4"/>
  <c r="AD16" i="4"/>
  <c r="AD5" i="4"/>
  <c r="AC5" i="4"/>
  <c r="AB5" i="4"/>
  <c r="X6" i="4"/>
  <c r="Y6" i="4"/>
  <c r="Z6" i="4"/>
  <c r="X7" i="4"/>
  <c r="Y7" i="4"/>
  <c r="Z7" i="4"/>
  <c r="X8" i="4"/>
  <c r="Y8" i="4"/>
  <c r="Z8" i="4"/>
  <c r="X9" i="4"/>
  <c r="Y9" i="4"/>
  <c r="Z9" i="4"/>
  <c r="X10" i="4"/>
  <c r="Y10" i="4"/>
  <c r="Z10" i="4"/>
  <c r="X11" i="4"/>
  <c r="Y11" i="4"/>
  <c r="Z11" i="4"/>
  <c r="X12" i="4"/>
  <c r="Y12" i="4"/>
  <c r="Z12" i="4"/>
  <c r="X13" i="4"/>
  <c r="Y13" i="4"/>
  <c r="Z13" i="4"/>
  <c r="X14" i="4"/>
  <c r="Y14" i="4"/>
  <c r="Z14" i="4"/>
  <c r="X15" i="4"/>
  <c r="Y15" i="4"/>
  <c r="Z15" i="4"/>
  <c r="X16" i="4"/>
  <c r="Y16" i="4"/>
  <c r="Z16" i="4"/>
  <c r="Z5" i="4"/>
  <c r="Y5" i="4"/>
  <c r="X5" i="4"/>
  <c r="T6" i="4"/>
  <c r="U6" i="4"/>
  <c r="V6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2" i="4"/>
  <c r="U12" i="4"/>
  <c r="V12" i="4"/>
  <c r="T13" i="4"/>
  <c r="U13" i="4"/>
  <c r="V13" i="4"/>
  <c r="T14" i="4"/>
  <c r="U14" i="4"/>
  <c r="V14" i="4"/>
  <c r="T15" i="4"/>
  <c r="U15" i="4"/>
  <c r="V15" i="4"/>
  <c r="T16" i="4"/>
  <c r="U16" i="4"/>
  <c r="V16" i="4"/>
  <c r="V5" i="4"/>
  <c r="U5" i="4"/>
  <c r="T5" i="4"/>
  <c r="P6" i="4"/>
  <c r="Q6" i="4"/>
  <c r="R6" i="4"/>
  <c r="P7" i="4"/>
  <c r="Q7" i="4"/>
  <c r="R7" i="4"/>
  <c r="P8" i="4"/>
  <c r="Q8" i="4"/>
  <c r="R8" i="4"/>
  <c r="P9" i="4"/>
  <c r="Q9" i="4"/>
  <c r="R9" i="4"/>
  <c r="P10" i="4"/>
  <c r="Q10" i="4"/>
  <c r="R10" i="4"/>
  <c r="P11" i="4"/>
  <c r="Q11" i="4"/>
  <c r="R11" i="4"/>
  <c r="P12" i="4"/>
  <c r="Q12" i="4"/>
  <c r="R12" i="4"/>
  <c r="P13" i="4"/>
  <c r="Q13" i="4"/>
  <c r="R13" i="4"/>
  <c r="P14" i="4"/>
  <c r="Q14" i="4"/>
  <c r="R14" i="4"/>
  <c r="P15" i="4"/>
  <c r="Q15" i="4"/>
  <c r="R15" i="4"/>
  <c r="P16" i="4"/>
  <c r="Q16" i="4"/>
  <c r="R16" i="4"/>
  <c r="R5" i="4"/>
  <c r="Q5" i="4"/>
  <c r="P5" i="4"/>
  <c r="M6" i="4"/>
  <c r="M7" i="4"/>
  <c r="M8" i="4"/>
  <c r="M9" i="4"/>
  <c r="M10" i="4"/>
  <c r="M11" i="4"/>
  <c r="M12" i="4"/>
  <c r="M13" i="4"/>
  <c r="M14" i="4"/>
  <c r="M15" i="4"/>
  <c r="M16" i="4"/>
  <c r="M5" i="4"/>
  <c r="L6" i="4"/>
  <c r="L7" i="4"/>
  <c r="L8" i="4"/>
  <c r="L9" i="4"/>
  <c r="L10" i="4"/>
  <c r="L11" i="4"/>
  <c r="L12" i="4"/>
  <c r="L13" i="4"/>
  <c r="L14" i="4"/>
  <c r="L15" i="4"/>
  <c r="L16" i="4"/>
  <c r="L5" i="4"/>
  <c r="K6" i="4"/>
  <c r="K7" i="4"/>
  <c r="K8" i="4"/>
  <c r="K9" i="4"/>
  <c r="K10" i="4"/>
  <c r="K11" i="4"/>
  <c r="K12" i="4"/>
  <c r="K13" i="4"/>
  <c r="K14" i="4"/>
  <c r="K15" i="4"/>
  <c r="K16" i="4"/>
  <c r="K5" i="4"/>
  <c r="E6" i="4"/>
  <c r="E7" i="4"/>
  <c r="E8" i="4"/>
  <c r="E9" i="4"/>
  <c r="E10" i="4"/>
  <c r="E11" i="4"/>
  <c r="E12" i="4"/>
  <c r="E13" i="4"/>
  <c r="E14" i="4"/>
  <c r="E15" i="4"/>
  <c r="E16" i="4"/>
  <c r="E5" i="4"/>
  <c r="D6" i="4"/>
  <c r="D7" i="4"/>
  <c r="D8" i="4"/>
  <c r="D9" i="4"/>
  <c r="D10" i="4"/>
  <c r="D11" i="4"/>
  <c r="D12" i="4"/>
  <c r="D13" i="4"/>
  <c r="D14" i="4"/>
  <c r="D15" i="4"/>
  <c r="D16" i="4"/>
  <c r="D5" i="4"/>
  <c r="C6" i="4"/>
  <c r="C7" i="4"/>
  <c r="C8" i="4"/>
  <c r="C9" i="4"/>
  <c r="C10" i="4"/>
  <c r="C11" i="4"/>
  <c r="C12" i="4"/>
  <c r="C13" i="4"/>
  <c r="C14" i="4"/>
  <c r="C15" i="4"/>
  <c r="C16" i="4"/>
  <c r="C5" i="4"/>
  <c r="AJ35" i="4" l="1"/>
  <c r="AK35" i="4"/>
  <c r="AL35" i="4"/>
  <c r="B52" i="4"/>
  <c r="AE35" i="4"/>
  <c r="E52" i="4" l="1"/>
  <c r="C52" i="4"/>
  <c r="D52" i="4"/>
  <c r="AF35" i="4"/>
  <c r="AG35" i="4"/>
  <c r="AH35" i="4"/>
  <c r="S41" i="4" l="1"/>
  <c r="S42" i="4"/>
  <c r="S43" i="4"/>
  <c r="S44" i="4"/>
  <c r="S45" i="4"/>
  <c r="S46" i="4"/>
  <c r="S47" i="4"/>
  <c r="S48" i="4"/>
  <c r="S49" i="4"/>
  <c r="S50" i="4"/>
  <c r="S51" i="4"/>
  <c r="S40" i="4"/>
  <c r="W31" i="4"/>
  <c r="AM31" i="4" s="1"/>
  <c r="W32" i="4"/>
  <c r="AM32" i="4" s="1"/>
  <c r="W40" i="4" l="1"/>
  <c r="U40" i="4"/>
  <c r="T40" i="4"/>
  <c r="V40" i="4"/>
  <c r="V44" i="4"/>
  <c r="T44" i="4"/>
  <c r="U44" i="4"/>
  <c r="W44" i="4"/>
  <c r="U47" i="4"/>
  <c r="V47" i="4"/>
  <c r="W47" i="4"/>
  <c r="T47" i="4"/>
  <c r="T50" i="4"/>
  <c r="V50" i="4"/>
  <c r="U50" i="4"/>
  <c r="W50" i="4"/>
  <c r="T46" i="4"/>
  <c r="U46" i="4"/>
  <c r="W46" i="4"/>
  <c r="V46" i="4"/>
  <c r="T42" i="4"/>
  <c r="U42" i="4"/>
  <c r="W42" i="4"/>
  <c r="V42" i="4"/>
  <c r="V48" i="4"/>
  <c r="T48" i="4"/>
  <c r="U48" i="4"/>
  <c r="W48" i="4"/>
  <c r="U51" i="4"/>
  <c r="W51" i="4"/>
  <c r="T51" i="4"/>
  <c r="V51" i="4"/>
  <c r="U43" i="4"/>
  <c r="W43" i="4"/>
  <c r="T43" i="4"/>
  <c r="V43" i="4"/>
  <c r="W49" i="4"/>
  <c r="T49" i="4"/>
  <c r="U49" i="4"/>
  <c r="V49" i="4"/>
  <c r="W45" i="4"/>
  <c r="U45" i="4"/>
  <c r="V45" i="4"/>
  <c r="T45" i="4"/>
  <c r="W41" i="4"/>
  <c r="U41" i="4"/>
  <c r="T41" i="4"/>
  <c r="V41" i="4"/>
  <c r="AO32" i="4"/>
  <c r="AP32" i="4"/>
  <c r="AN32" i="4"/>
  <c r="AN31" i="4"/>
  <c r="AO31" i="4"/>
  <c r="AP31" i="4"/>
  <c r="AK16" i="4"/>
  <c r="AL16" i="4"/>
  <c r="AM16" i="4"/>
  <c r="AK12" i="4"/>
  <c r="AL12" i="4"/>
  <c r="AM12" i="4"/>
  <c r="AK8" i="4"/>
  <c r="AL8" i="4"/>
  <c r="AM8" i="4"/>
  <c r="Y31" i="4"/>
  <c r="Z31" i="4"/>
  <c r="X31" i="4"/>
  <c r="AL15" i="4"/>
  <c r="AM15" i="4"/>
  <c r="AK15" i="4"/>
  <c r="AK11" i="4"/>
  <c r="AM11" i="4"/>
  <c r="AL11" i="4"/>
  <c r="AK7" i="4"/>
  <c r="AL7" i="4"/>
  <c r="AM7" i="4"/>
  <c r="AM14" i="4"/>
  <c r="AK14" i="4"/>
  <c r="AL14" i="4"/>
  <c r="AM10" i="4"/>
  <c r="AK10" i="4"/>
  <c r="AL10" i="4"/>
  <c r="AM6" i="4"/>
  <c r="AL6" i="4"/>
  <c r="AK6" i="4"/>
  <c r="AO5" i="4"/>
  <c r="AK5" i="4"/>
  <c r="AM5" i="4"/>
  <c r="AL5" i="4"/>
  <c r="AL13" i="4"/>
  <c r="AM13" i="4"/>
  <c r="AK13" i="4"/>
  <c r="AL9" i="4"/>
  <c r="AM9" i="4"/>
  <c r="AK9" i="4"/>
  <c r="Z32" i="4"/>
  <c r="X32" i="4"/>
  <c r="Y32" i="4"/>
  <c r="W34" i="4"/>
  <c r="AM34" i="4" s="1"/>
  <c r="W33" i="4"/>
  <c r="AM33" i="4" s="1"/>
  <c r="W30" i="4"/>
  <c r="AM30" i="4" s="1"/>
  <c r="W29" i="4"/>
  <c r="AM29" i="4" s="1"/>
  <c r="W28" i="4"/>
  <c r="AM28" i="4" s="1"/>
  <c r="W27" i="4"/>
  <c r="AM27" i="4" s="1"/>
  <c r="W26" i="4"/>
  <c r="AM26" i="4" s="1"/>
  <c r="W25" i="4"/>
  <c r="AM25" i="4" s="1"/>
  <c r="W24" i="4"/>
  <c r="AM24" i="4" s="1"/>
  <c r="W23" i="4"/>
  <c r="AM23" i="4" s="1"/>
  <c r="B35" i="4"/>
  <c r="Z50" i="4" l="1"/>
  <c r="X50" i="4"/>
  <c r="Y50" i="4"/>
  <c r="Y44" i="4"/>
  <c r="Z44" i="4"/>
  <c r="X44" i="4"/>
  <c r="Y46" i="4"/>
  <c r="X46" i="4"/>
  <c r="Z46" i="4"/>
  <c r="X47" i="4"/>
  <c r="Y47" i="4"/>
  <c r="Z47" i="4"/>
  <c r="X43" i="4"/>
  <c r="Z43" i="4"/>
  <c r="Y43" i="4"/>
  <c r="X51" i="4"/>
  <c r="Z51" i="4"/>
  <c r="Y51" i="4"/>
  <c r="Y48" i="4"/>
  <c r="X48" i="4"/>
  <c r="Z48" i="4"/>
  <c r="Z42" i="4"/>
  <c r="X42" i="4"/>
  <c r="Y42" i="4"/>
  <c r="Z41" i="4"/>
  <c r="X41" i="4"/>
  <c r="Y41" i="4"/>
  <c r="Z45" i="4"/>
  <c r="Y45" i="4"/>
  <c r="X45" i="4"/>
  <c r="Z49" i="4"/>
  <c r="X49" i="4"/>
  <c r="Y49" i="4"/>
  <c r="X40" i="4"/>
  <c r="Y40" i="4"/>
  <c r="Z40" i="4"/>
  <c r="AP25" i="4"/>
  <c r="AN25" i="4"/>
  <c r="AO25" i="4"/>
  <c r="AP29" i="4"/>
  <c r="AN29" i="4"/>
  <c r="AO29" i="4"/>
  <c r="AN26" i="4"/>
  <c r="AO26" i="4"/>
  <c r="AP26" i="4"/>
  <c r="AN30" i="4"/>
  <c r="AO30" i="4"/>
  <c r="AP30" i="4"/>
  <c r="AO23" i="4"/>
  <c r="AN23" i="4"/>
  <c r="AP23" i="4"/>
  <c r="AN27" i="4"/>
  <c r="AO27" i="4"/>
  <c r="AP27" i="4"/>
  <c r="AP33" i="4"/>
  <c r="AN33" i="4"/>
  <c r="AO33" i="4"/>
  <c r="AO24" i="4"/>
  <c r="AP24" i="4"/>
  <c r="AN24" i="4"/>
  <c r="AO28" i="4"/>
  <c r="AP28" i="4"/>
  <c r="AN28" i="4"/>
  <c r="AN34" i="4"/>
  <c r="AO34" i="4"/>
  <c r="AP34" i="4"/>
  <c r="AQ23" i="4"/>
  <c r="X23" i="4"/>
  <c r="Y23" i="4"/>
  <c r="Z23" i="4"/>
  <c r="Y27" i="4"/>
  <c r="Z27" i="4"/>
  <c r="X27" i="4"/>
  <c r="X33" i="4"/>
  <c r="Z33" i="4"/>
  <c r="Y33" i="4"/>
  <c r="Z24" i="4"/>
  <c r="X24" i="4"/>
  <c r="Y24" i="4"/>
  <c r="Z28" i="4"/>
  <c r="Y28" i="4"/>
  <c r="X28" i="4"/>
  <c r="X34" i="4"/>
  <c r="Y34" i="4"/>
  <c r="Z34" i="4"/>
  <c r="X25" i="4"/>
  <c r="Z25" i="4"/>
  <c r="Y25" i="4"/>
  <c r="X29" i="4"/>
  <c r="Y29" i="4"/>
  <c r="Z29" i="4"/>
  <c r="AQ5" i="4"/>
  <c r="AP5" i="4"/>
  <c r="AR5" i="4"/>
  <c r="E35" i="4"/>
  <c r="C35" i="4"/>
  <c r="D35" i="4"/>
  <c r="X26" i="4"/>
  <c r="Y26" i="4"/>
  <c r="Z26" i="4"/>
  <c r="X30" i="4"/>
  <c r="Y30" i="4"/>
  <c r="Z30" i="4"/>
  <c r="O52" i="4"/>
  <c r="J52" i="4"/>
  <c r="F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5" i="4"/>
  <c r="S35" i="4"/>
  <c r="O35" i="4"/>
  <c r="J35" i="4"/>
  <c r="F35" i="4"/>
  <c r="AQ34" i="4"/>
  <c r="AQ33" i="4"/>
  <c r="AQ32" i="4"/>
  <c r="AQ31" i="4"/>
  <c r="AQ30" i="4"/>
  <c r="AQ29" i="4"/>
  <c r="AQ28" i="4"/>
  <c r="AQ27" i="4"/>
  <c r="AQ26" i="4"/>
  <c r="AQ25" i="4"/>
  <c r="AQ24" i="4"/>
  <c r="AN17" i="4"/>
  <c r="AE17" i="4"/>
  <c r="AA17" i="4"/>
  <c r="W17" i="4"/>
  <c r="O17" i="4"/>
  <c r="J17" i="4"/>
  <c r="F17" i="4"/>
  <c r="B17" i="4"/>
  <c r="AO16" i="4"/>
  <c r="AO15" i="4"/>
  <c r="AO14" i="4"/>
  <c r="AO13" i="4"/>
  <c r="AO12" i="4"/>
  <c r="AO11" i="4"/>
  <c r="AO10" i="4"/>
  <c r="AO9" i="4"/>
  <c r="AO8" i="4"/>
  <c r="AO7" i="4"/>
  <c r="AO6" i="4"/>
  <c r="S17" i="4"/>
  <c r="AD42" i="4" l="1"/>
  <c r="AB42" i="4"/>
  <c r="AC42" i="4"/>
  <c r="R52" i="4"/>
  <c r="P52" i="4"/>
  <c r="Q52" i="4"/>
  <c r="AB47" i="4"/>
  <c r="AC47" i="4"/>
  <c r="AD47" i="4"/>
  <c r="AC40" i="4"/>
  <c r="AB40" i="4"/>
  <c r="AD40" i="4"/>
  <c r="AB44" i="4"/>
  <c r="AC44" i="4"/>
  <c r="AD44" i="4"/>
  <c r="AB48" i="4"/>
  <c r="AD48" i="4"/>
  <c r="AC48" i="4"/>
  <c r="AD46" i="4"/>
  <c r="AB46" i="4"/>
  <c r="AC46" i="4"/>
  <c r="AD50" i="4"/>
  <c r="AB50" i="4"/>
  <c r="AC50" i="4"/>
  <c r="AC43" i="4"/>
  <c r="AD43" i="4"/>
  <c r="AB43" i="4"/>
  <c r="AC51" i="4"/>
  <c r="AD51" i="4"/>
  <c r="AB51" i="4"/>
  <c r="AC41" i="4"/>
  <c r="AB41" i="4"/>
  <c r="AD41" i="4"/>
  <c r="AC45" i="4"/>
  <c r="AB45" i="4"/>
  <c r="AD45" i="4"/>
  <c r="AC49" i="4"/>
  <c r="AB49" i="4"/>
  <c r="AD49" i="4"/>
  <c r="K52" i="4"/>
  <c r="L52" i="4"/>
  <c r="M52" i="4"/>
  <c r="AR27" i="4"/>
  <c r="AS27" i="4"/>
  <c r="AT27" i="4"/>
  <c r="AR31" i="4"/>
  <c r="AS31" i="4"/>
  <c r="AT31" i="4"/>
  <c r="AT23" i="4"/>
  <c r="AS23" i="4"/>
  <c r="AR23" i="4"/>
  <c r="AR24" i="4"/>
  <c r="AS24" i="4"/>
  <c r="AT24" i="4"/>
  <c r="AR28" i="4"/>
  <c r="AS28" i="4"/>
  <c r="AT28" i="4"/>
  <c r="AR32" i="4"/>
  <c r="AS32" i="4"/>
  <c r="AT32" i="4"/>
  <c r="AS25" i="4"/>
  <c r="AT25" i="4"/>
  <c r="AR25" i="4"/>
  <c r="AS29" i="4"/>
  <c r="AT29" i="4"/>
  <c r="AR29" i="4"/>
  <c r="AS33" i="4"/>
  <c r="AT33" i="4"/>
  <c r="AR33" i="4"/>
  <c r="AT26" i="4"/>
  <c r="AR26" i="4"/>
  <c r="AS26" i="4"/>
  <c r="AT30" i="4"/>
  <c r="AR30" i="4"/>
  <c r="AS30" i="4"/>
  <c r="AT34" i="4"/>
  <c r="AR34" i="4"/>
  <c r="AS34" i="4"/>
  <c r="AS8" i="4"/>
  <c r="AP8" i="4"/>
  <c r="AR8" i="4"/>
  <c r="AQ8" i="4"/>
  <c r="AS12" i="4"/>
  <c r="AP12" i="4"/>
  <c r="AQ12" i="4"/>
  <c r="AR12" i="4"/>
  <c r="AS16" i="4"/>
  <c r="AP16" i="4"/>
  <c r="AR16" i="4"/>
  <c r="AQ16" i="4"/>
  <c r="R17" i="4"/>
  <c r="P17" i="4"/>
  <c r="Q17" i="4"/>
  <c r="AD35" i="4"/>
  <c r="AB35" i="4"/>
  <c r="AC35" i="4"/>
  <c r="U17" i="4"/>
  <c r="T17" i="4"/>
  <c r="V17" i="4"/>
  <c r="AS9" i="4"/>
  <c r="AP9" i="4"/>
  <c r="AQ9" i="4"/>
  <c r="AR9" i="4"/>
  <c r="AS13" i="4"/>
  <c r="AP13" i="4"/>
  <c r="AQ13" i="4"/>
  <c r="AR13" i="4"/>
  <c r="X17" i="4"/>
  <c r="Y17" i="4"/>
  <c r="Z17" i="4"/>
  <c r="K35" i="4"/>
  <c r="L35" i="4"/>
  <c r="M35" i="4"/>
  <c r="AS6" i="4"/>
  <c r="AQ6" i="4"/>
  <c r="AR6" i="4"/>
  <c r="AP6" i="4"/>
  <c r="AS10" i="4"/>
  <c r="AQ10" i="4"/>
  <c r="AR10" i="4"/>
  <c r="AP10" i="4"/>
  <c r="AS14" i="4"/>
  <c r="AQ14" i="4"/>
  <c r="AR14" i="4"/>
  <c r="AP14" i="4"/>
  <c r="AC17" i="4"/>
  <c r="AD17" i="4"/>
  <c r="AB17" i="4"/>
  <c r="P35" i="4"/>
  <c r="Q35" i="4"/>
  <c r="R35" i="4"/>
  <c r="AS7" i="4"/>
  <c r="AR7" i="4"/>
  <c r="AP7" i="4"/>
  <c r="AQ7" i="4"/>
  <c r="AS11" i="4"/>
  <c r="AR11" i="4"/>
  <c r="AQ11" i="4"/>
  <c r="AP11" i="4"/>
  <c r="AS15" i="4"/>
  <c r="AR15" i="4"/>
  <c r="AP15" i="4"/>
  <c r="AQ15" i="4"/>
  <c r="AH17" i="4"/>
  <c r="AF17" i="4"/>
  <c r="AG17" i="4"/>
  <c r="V35" i="4"/>
  <c r="T35" i="4"/>
  <c r="U35" i="4"/>
  <c r="K17" i="4"/>
  <c r="M17" i="4"/>
  <c r="L17" i="4"/>
  <c r="E17" i="4"/>
  <c r="D17" i="4"/>
  <c r="C17" i="4"/>
  <c r="S52" i="4"/>
  <c r="W35" i="4"/>
  <c r="AM35" i="4" s="1"/>
  <c r="N17" i="4"/>
  <c r="AS5" i="4"/>
  <c r="AJ17" i="4"/>
  <c r="N35" i="4"/>
  <c r="V52" i="4" l="1"/>
  <c r="T52" i="4"/>
  <c r="U52" i="4"/>
  <c r="W52" i="4"/>
  <c r="AN35" i="4"/>
  <c r="AO35" i="4"/>
  <c r="AP35" i="4"/>
  <c r="AO17" i="4"/>
  <c r="AL17" i="4"/>
  <c r="AK17" i="4"/>
  <c r="AM17" i="4"/>
  <c r="AU15" i="4"/>
  <c r="AV15" i="4"/>
  <c r="AT15" i="4"/>
  <c r="AU11" i="4"/>
  <c r="AV11" i="4"/>
  <c r="AT11" i="4"/>
  <c r="AU7" i="4"/>
  <c r="AV7" i="4"/>
  <c r="AT7" i="4"/>
  <c r="AT13" i="4"/>
  <c r="AV13" i="4"/>
  <c r="AU13" i="4"/>
  <c r="AT9" i="4"/>
  <c r="AU9" i="4"/>
  <c r="AV9" i="4"/>
  <c r="AV16" i="4"/>
  <c r="AU16" i="4"/>
  <c r="AT16" i="4"/>
  <c r="AV12" i="4"/>
  <c r="AT12" i="4"/>
  <c r="AU12" i="4"/>
  <c r="AV8" i="4"/>
  <c r="AU8" i="4"/>
  <c r="AT8" i="4"/>
  <c r="AV5" i="4"/>
  <c r="AU5" i="4"/>
  <c r="AT5" i="4"/>
  <c r="AT14" i="4"/>
  <c r="AU14" i="4"/>
  <c r="AV14" i="4"/>
  <c r="AT10" i="4"/>
  <c r="AU10" i="4"/>
  <c r="AV10" i="4"/>
  <c r="AT6" i="4"/>
  <c r="AU6" i="4"/>
  <c r="AV6" i="4"/>
  <c r="AQ35" i="4"/>
  <c r="Y35" i="4"/>
  <c r="Z35" i="4"/>
  <c r="X35" i="4"/>
  <c r="AS17" i="4"/>
  <c r="Y52" i="4" l="1"/>
  <c r="Z52" i="4"/>
  <c r="X52" i="4"/>
  <c r="AA52" i="4"/>
  <c r="AR35" i="4"/>
  <c r="AS35" i="4"/>
  <c r="AT35" i="4"/>
  <c r="AT17" i="4"/>
  <c r="AU17" i="4"/>
  <c r="AV17" i="4"/>
  <c r="AP17" i="4"/>
  <c r="AQ17" i="4"/>
  <c r="AR17" i="4"/>
  <c r="AB52" i="4" l="1"/>
  <c r="AC52" i="4"/>
  <c r="AD52" i="4"/>
</calcChain>
</file>

<file path=xl/sharedStrings.xml><?xml version="1.0" encoding="utf-8"?>
<sst xmlns="http://schemas.openxmlformats.org/spreadsheetml/2006/main" count="133" uniqueCount="36">
  <si>
    <t>начисленно</t>
  </si>
  <si>
    <t>оплачено</t>
  </si>
  <si>
    <t>% поступления</t>
  </si>
  <si>
    <t>услуги по сбору денежных средств</t>
  </si>
  <si>
    <t>итого</t>
  </si>
  <si>
    <t>статья "Общедомовое обслуживание"</t>
  </si>
  <si>
    <t>Остаток (+), Перерасход (-)полученных средств на конец периода</t>
  </si>
  <si>
    <t>итого расход</t>
  </si>
  <si>
    <t>статья "Текущий ремонт"</t>
  </si>
  <si>
    <t>приобретение материалов</t>
  </si>
  <si>
    <t>ООО "Восточно-сибирская инвестиционно-строительная компания</t>
  </si>
  <si>
    <t>период</t>
  </si>
  <si>
    <t>Остаток (+), Перерасход (-)полученных средств на начало периода</t>
  </si>
  <si>
    <t>Прочие</t>
  </si>
  <si>
    <t>доп.раб</t>
  </si>
  <si>
    <t>статья "Содержание жилья, охрана общего имущетсва"</t>
  </si>
  <si>
    <t>г. Иркутск, ул. Трудовая 56/3, 56/2 56/1</t>
  </si>
  <si>
    <t>итого начисленно</t>
  </si>
  <si>
    <t xml:space="preserve"> в т.ч. 56/1</t>
  </si>
  <si>
    <t xml:space="preserve"> в т.ч.56/2</t>
  </si>
  <si>
    <t xml:space="preserve"> в т.ч.56/3</t>
  </si>
  <si>
    <t>Итого остаток (+), Перерасход (-)полученных средств на начало периода</t>
  </si>
  <si>
    <t>Итого оплачено</t>
  </si>
  <si>
    <t>Итого услуги по управлению многоквартирным домом</t>
  </si>
  <si>
    <t>Итого налоги</t>
  </si>
  <si>
    <t>Итого аренда</t>
  </si>
  <si>
    <t>Итого вывоз ТБО</t>
  </si>
  <si>
    <t>Итого обслуживание лифтов</t>
  </si>
  <si>
    <t>Итого услуги по сбору денежных средств</t>
  </si>
  <si>
    <t>Итого расход</t>
  </si>
  <si>
    <t>Итого обслуживание приборов учета</t>
  </si>
  <si>
    <t>Итого начисленно</t>
  </si>
  <si>
    <t>Итого содержание придомовой территории</t>
  </si>
  <si>
    <t>Итого освещение мест общего пользования</t>
  </si>
  <si>
    <t>Итого ремонт кабельной линии</t>
  </si>
  <si>
    <t>Отчет о поступлении и использовании средств по содержанию и ремонту многоквартирного дома за январь-декабрь 2013г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</si>
</sst>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  <charset val="204"/>
      <scheme val="minor"/>
    </font>
    <font>
      <sz val="12"/>
      <name val="Arial"/>
      <family val="2"/>
    </font>
    <font>
      <i/>
      <sz val="1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7" fontId="2" fillId="0" borderId="1" xfId="0" applyNumberFormat="1" applyFont="1" applyFill="1" applyBorder="1"/>
    <xf numFmtId="4" fontId="3" fillId="0" borderId="1" xfId="1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/>
    <xf numFmtId="4" fontId="2" fillId="0" borderId="1" xfId="0" applyNumberFormat="1" applyFont="1" applyFill="1" applyBorder="1"/>
    <xf numFmtId="4" fontId="2" fillId="0" borderId="0" xfId="0" applyNumberFormat="1" applyFont="1" applyFill="1"/>
    <xf numFmtId="17" fontId="2" fillId="0" borderId="0" xfId="0" applyNumberFormat="1" applyFont="1" applyFill="1"/>
    <xf numFmtId="0" fontId="2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/>
    <xf numFmtId="4" fontId="6" fillId="0" borderId="1" xfId="1" applyNumberFormat="1" applyFont="1" applyFill="1" applyBorder="1" applyAlignment="1">
      <alignment horizontal="right" vertical="top"/>
    </xf>
    <xf numFmtId="2" fontId="7" fillId="0" borderId="1" xfId="0" applyNumberFormat="1" applyFont="1" applyFill="1" applyBorder="1"/>
    <xf numFmtId="0" fontId="7" fillId="0" borderId="1" xfId="0" applyFont="1" applyFill="1" applyBorder="1"/>
    <xf numFmtId="4" fontId="4" fillId="0" borderId="1" xfId="1" applyNumberFormat="1" applyFont="1" applyFill="1" applyBorder="1" applyAlignment="1">
      <alignment horizontal="right" vertical="top"/>
    </xf>
    <xf numFmtId="4" fontId="3" fillId="0" borderId="1" xfId="1" applyNumberFormat="1" applyFont="1" applyBorder="1" applyAlignment="1">
      <alignment horizontal="right" vertical="top"/>
    </xf>
    <xf numFmtId="1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4" fontId="8" fillId="0" borderId="1" xfId="1" applyNumberFormat="1" applyFont="1" applyFill="1" applyBorder="1" applyAlignment="1">
      <alignment horizontal="right" vertical="top"/>
    </xf>
    <xf numFmtId="0" fontId="2" fillId="0" borderId="1" xfId="0" applyNumberFormat="1" applyFont="1" applyBorder="1"/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6"/>
  <sheetViews>
    <sheetView tabSelected="1" topLeftCell="A28" zoomScaleNormal="100" workbookViewId="0">
      <selection activeCell="G53" sqref="G53:I53"/>
    </sheetView>
  </sheetViews>
  <sheetFormatPr defaultColWidth="13.42578125" defaultRowHeight="15.75" x14ac:dyDescent="0.25"/>
  <cols>
    <col min="1" max="1" width="10" style="1" customWidth="1"/>
    <col min="2" max="2" width="13.42578125" style="1"/>
    <col min="3" max="3" width="11.28515625" style="1" customWidth="1"/>
    <col min="4" max="4" width="11.42578125" style="1" customWidth="1"/>
    <col min="5" max="5" width="10.7109375" style="1" customWidth="1"/>
    <col min="6" max="6" width="13.42578125" style="1"/>
    <col min="7" max="8" width="11.140625" style="1" customWidth="1"/>
    <col min="9" max="9" width="11.7109375" style="1" customWidth="1"/>
    <col min="10" max="10" width="14.7109375" style="1" bestFit="1" customWidth="1"/>
    <col min="11" max="11" width="12.42578125" style="1" customWidth="1"/>
    <col min="12" max="12" width="12.140625" style="1" customWidth="1"/>
    <col min="13" max="13" width="13.140625" style="1" customWidth="1"/>
    <col min="14" max="14" width="8.85546875" style="1" customWidth="1"/>
    <col min="15" max="15" width="11.7109375" style="1" customWidth="1"/>
    <col min="16" max="16" width="10.85546875" style="1" customWidth="1"/>
    <col min="17" max="17" width="10.42578125" style="1" customWidth="1"/>
    <col min="18" max="18" width="11.42578125" style="1" customWidth="1"/>
    <col min="19" max="19" width="13.42578125" style="1"/>
    <col min="20" max="20" width="10.42578125" style="1" customWidth="1"/>
    <col min="21" max="21" width="11.140625" style="1" customWidth="1"/>
    <col min="22" max="22" width="11.28515625" style="1" customWidth="1"/>
    <col min="23" max="23" width="11" style="1" customWidth="1"/>
    <col min="24" max="24" width="10.28515625" style="1" customWidth="1"/>
    <col min="25" max="25" width="10.42578125" style="1" customWidth="1"/>
    <col min="26" max="26" width="9.42578125" style="1" customWidth="1"/>
    <col min="27" max="27" width="12.140625" style="1" customWidth="1"/>
    <col min="28" max="28" width="9.28515625" style="1" customWidth="1"/>
    <col min="29" max="29" width="8.5703125" style="1" customWidth="1"/>
    <col min="30" max="30" width="10.140625" style="1" customWidth="1"/>
    <col min="31" max="31" width="8.28515625" style="1" customWidth="1"/>
    <col min="32" max="32" width="10.140625" style="1" customWidth="1"/>
    <col min="33" max="33" width="11.140625" style="1" customWidth="1"/>
    <col min="34" max="34" width="10.5703125" style="1" customWidth="1"/>
    <col min="35" max="35" width="13.42578125" style="1"/>
    <col min="36" max="36" width="11.7109375" style="1" customWidth="1"/>
    <col min="37" max="37" width="10.140625" style="1" customWidth="1"/>
    <col min="38" max="38" width="11.140625" style="1" customWidth="1"/>
    <col min="39" max="39" width="10.42578125" style="1" customWidth="1"/>
    <col min="40" max="40" width="11.5703125" style="1" customWidth="1"/>
    <col min="41" max="41" width="13.42578125" style="1"/>
    <col min="42" max="42" width="11.42578125" style="1" customWidth="1"/>
    <col min="43" max="43" width="11.7109375" style="1" customWidth="1"/>
    <col min="44" max="44" width="11.85546875" style="1" customWidth="1"/>
    <col min="45" max="45" width="12.42578125" style="1" customWidth="1"/>
    <col min="46" max="46" width="13" style="1" customWidth="1"/>
    <col min="47" max="47" width="12.7109375" style="1" customWidth="1"/>
    <col min="48" max="48" width="13" style="1" customWidth="1"/>
    <col min="49" max="16384" width="13.42578125" style="1"/>
  </cols>
  <sheetData>
    <row r="1" spans="1:49" x14ac:dyDescent="0.25">
      <c r="F1" s="1" t="s">
        <v>35</v>
      </c>
    </row>
    <row r="2" spans="1:49" x14ac:dyDescent="0.25">
      <c r="A2" s="1" t="s">
        <v>16</v>
      </c>
      <c r="N2" s="1" t="s">
        <v>10</v>
      </c>
    </row>
    <row r="3" spans="1:49" x14ac:dyDescent="0.25">
      <c r="S3" s="1" t="s">
        <v>15</v>
      </c>
    </row>
    <row r="4" spans="1:49" ht="143.25" customHeight="1" x14ac:dyDescent="0.25">
      <c r="A4" s="2" t="s">
        <v>11</v>
      </c>
      <c r="B4" s="3" t="s">
        <v>21</v>
      </c>
      <c r="C4" s="11" t="s">
        <v>18</v>
      </c>
      <c r="D4" s="11" t="s">
        <v>19</v>
      </c>
      <c r="E4" s="11" t="s">
        <v>20</v>
      </c>
      <c r="F4" s="3" t="s">
        <v>17</v>
      </c>
      <c r="G4" s="13" t="s">
        <v>18</v>
      </c>
      <c r="H4" s="13" t="s">
        <v>19</v>
      </c>
      <c r="I4" s="13" t="s">
        <v>20</v>
      </c>
      <c r="J4" s="3" t="s">
        <v>22</v>
      </c>
      <c r="K4" s="11" t="s">
        <v>18</v>
      </c>
      <c r="L4" s="11" t="s">
        <v>19</v>
      </c>
      <c r="M4" s="11" t="s">
        <v>20</v>
      </c>
      <c r="N4" s="3" t="s">
        <v>2</v>
      </c>
      <c r="O4" s="3" t="s">
        <v>23</v>
      </c>
      <c r="P4" s="11" t="s">
        <v>18</v>
      </c>
      <c r="Q4" s="11" t="s">
        <v>19</v>
      </c>
      <c r="R4" s="11" t="s">
        <v>20</v>
      </c>
      <c r="S4" s="3" t="s">
        <v>24</v>
      </c>
      <c r="T4" s="11" t="s">
        <v>18</v>
      </c>
      <c r="U4" s="11" t="s">
        <v>19</v>
      </c>
      <c r="V4" s="11" t="s">
        <v>20</v>
      </c>
      <c r="W4" s="3" t="s">
        <v>25</v>
      </c>
      <c r="X4" s="11" t="s">
        <v>18</v>
      </c>
      <c r="Y4" s="11" t="s">
        <v>19</v>
      </c>
      <c r="Z4" s="11" t="s">
        <v>20</v>
      </c>
      <c r="AA4" s="3" t="s">
        <v>26</v>
      </c>
      <c r="AB4" s="11" t="s">
        <v>18</v>
      </c>
      <c r="AC4" s="11" t="s">
        <v>19</v>
      </c>
      <c r="AD4" s="11" t="s">
        <v>20</v>
      </c>
      <c r="AE4" s="3" t="s">
        <v>27</v>
      </c>
      <c r="AF4" s="11" t="s">
        <v>18</v>
      </c>
      <c r="AG4" s="11" t="s">
        <v>19</v>
      </c>
      <c r="AH4" s="11" t="s">
        <v>20</v>
      </c>
      <c r="AI4" s="3" t="s">
        <v>13</v>
      </c>
      <c r="AJ4" s="3" t="s">
        <v>28</v>
      </c>
      <c r="AK4" s="11" t="s">
        <v>18</v>
      </c>
      <c r="AL4" s="11" t="s">
        <v>19</v>
      </c>
      <c r="AM4" s="11" t="s">
        <v>20</v>
      </c>
      <c r="AN4" s="3" t="s">
        <v>14</v>
      </c>
      <c r="AO4" s="3" t="s">
        <v>29</v>
      </c>
      <c r="AP4" s="11" t="s">
        <v>18</v>
      </c>
      <c r="AQ4" s="11" t="s">
        <v>19</v>
      </c>
      <c r="AR4" s="11" t="s">
        <v>20</v>
      </c>
      <c r="AS4" s="3" t="s">
        <v>6</v>
      </c>
      <c r="AT4" s="11" t="s">
        <v>18</v>
      </c>
      <c r="AU4" s="11" t="s">
        <v>19</v>
      </c>
      <c r="AV4" s="11" t="s">
        <v>20</v>
      </c>
    </row>
    <row r="5" spans="1:49" x14ac:dyDescent="0.25">
      <c r="A5" s="4">
        <v>41275</v>
      </c>
      <c r="B5" s="2">
        <v>-64102.62</v>
      </c>
      <c r="C5" s="12">
        <f>B5*0.30458446</f>
        <v>-19524.661897285201</v>
      </c>
      <c r="D5" s="12">
        <f>B5*0.238258139</f>
        <v>-15272.970946224181</v>
      </c>
      <c r="E5" s="12">
        <f>B5*0.457157401</f>
        <v>-29304.987156490621</v>
      </c>
      <c r="F5" s="5">
        <v>304685.24</v>
      </c>
      <c r="G5" s="23">
        <f>F5*0.2697455</f>
        <v>82187.472406420013</v>
      </c>
      <c r="H5" s="23">
        <f>F5*0.2322587</f>
        <v>70765.797751588005</v>
      </c>
      <c r="I5" s="23">
        <f>F5*0.4979958</f>
        <v>151731.96984199199</v>
      </c>
      <c r="J5" s="19">
        <v>289816.59999999998</v>
      </c>
      <c r="K5" s="15">
        <f>J5*0.30458446</f>
        <v>88273.632610035987</v>
      </c>
      <c r="L5" s="15">
        <f>J5*0.238258139</f>
        <v>69051.1637673074</v>
      </c>
      <c r="M5" s="15">
        <f>J5*0.457157401</f>
        <v>132491.80362265659</v>
      </c>
      <c r="N5" s="6"/>
      <c r="O5" s="20">
        <v>74704.91</v>
      </c>
      <c r="P5" s="12">
        <f>O5*0.30458446</f>
        <v>22753.954671698601</v>
      </c>
      <c r="Q5" s="12">
        <f>O5*0.238258139</f>
        <v>17799.052830762492</v>
      </c>
      <c r="R5" s="12">
        <f>O5*0.457157401</f>
        <v>34151.902497538911</v>
      </c>
      <c r="S5" s="21">
        <v>25107</v>
      </c>
      <c r="T5" s="16">
        <f>S5*0.30458446</f>
        <v>7647.2020372200004</v>
      </c>
      <c r="U5" s="16">
        <f>S5*0.238258139</f>
        <v>5981.9470958729999</v>
      </c>
      <c r="V5" s="16">
        <f>S5*0.457157401</f>
        <v>11477.850866907</v>
      </c>
      <c r="W5" s="2">
        <v>61240</v>
      </c>
      <c r="X5" s="12">
        <f>W5*0.30458446</f>
        <v>18652.752330399999</v>
      </c>
      <c r="Y5" s="12">
        <f>W5*0.238258139</f>
        <v>14590.92843236</v>
      </c>
      <c r="Z5" s="12">
        <f>W5*0.457157401</f>
        <v>27996.319237240001</v>
      </c>
      <c r="AA5" s="21">
        <v>16706.310000000001</v>
      </c>
      <c r="AB5" s="12">
        <f>AA5*0.30458446</f>
        <v>5088.4824099426005</v>
      </c>
      <c r="AC5" s="12">
        <f>AA5*0.238258139</f>
        <v>3980.4143301570903</v>
      </c>
      <c r="AD5" s="14">
        <f>AA5*0.457157401</f>
        <v>7637.4132599003105</v>
      </c>
      <c r="AE5" s="21">
        <v>126000</v>
      </c>
      <c r="AF5" s="12">
        <f>AE5*0.30458446</f>
        <v>38377.641960000001</v>
      </c>
      <c r="AG5" s="12">
        <f>AE5*0.238258139</f>
        <v>30020.525514000001</v>
      </c>
      <c r="AH5" s="12">
        <f>AE5*0.457157401</f>
        <v>57601.832526000006</v>
      </c>
      <c r="AI5" s="2"/>
      <c r="AJ5" s="22">
        <v>5796.33</v>
      </c>
      <c r="AK5" s="12">
        <f>AJ5*0.30458446</f>
        <v>1765.4720430318</v>
      </c>
      <c r="AL5" s="12">
        <f>AJ5*0.238258139</f>
        <v>1381.02279882987</v>
      </c>
      <c r="AM5" s="12">
        <f>AJ5*0.457157401</f>
        <v>2649.8351581383299</v>
      </c>
      <c r="AN5" s="2"/>
      <c r="AO5" s="6">
        <f>AN5+AJ5+AI5+AE5+AA5+W5+S5+O5</f>
        <v>309554.55</v>
      </c>
      <c r="AP5" s="12">
        <f>AO5*0.30458446</f>
        <v>94285.505452293</v>
      </c>
      <c r="AQ5" s="12">
        <f>AO5*0.238258139</f>
        <v>73753.891001982454</v>
      </c>
      <c r="AR5" s="12">
        <f>AO5*0.457157401</f>
        <v>141515.15354572455</v>
      </c>
      <c r="AS5" s="7">
        <f>J5-AO5+B5</f>
        <v>-83840.570000000007</v>
      </c>
      <c r="AT5" s="14">
        <f>AS5*0.30458446</f>
        <v>-25536.534739542203</v>
      </c>
      <c r="AU5" s="14">
        <f>AS5*0.238258139</f>
        <v>-19975.698180899231</v>
      </c>
      <c r="AV5" s="14">
        <f>AS5*0.457157401</f>
        <v>-38328.337079558572</v>
      </c>
    </row>
    <row r="6" spans="1:49" x14ac:dyDescent="0.25">
      <c r="A6" s="4">
        <v>41306</v>
      </c>
      <c r="B6" s="2">
        <v>-89076.34</v>
      </c>
      <c r="C6" s="12">
        <f t="shared" ref="C6:C17" si="0">B6*0.30458446</f>
        <v>-27131.2689176764</v>
      </c>
      <c r="D6" s="12">
        <f t="shared" ref="D6:D17" si="1">B6*0.238258139</f>
        <v>-21223.162997331259</v>
      </c>
      <c r="E6" s="12">
        <f t="shared" ref="E6:E17" si="2">B6*0.457157401</f>
        <v>-40721.908084992341</v>
      </c>
      <c r="F6" s="5">
        <v>344309.43</v>
      </c>
      <c r="G6" s="23">
        <f t="shared" ref="G6:G16" si="3">F6*0.2697455</f>
        <v>92875.919350065014</v>
      </c>
      <c r="H6" s="23">
        <f t="shared" ref="H6:H16" si="4">F6*0.2322587</f>
        <v>79968.860609541007</v>
      </c>
      <c r="I6" s="23">
        <f t="shared" ref="I6:I16" si="5">F6*0.4979958</f>
        <v>171464.65004039399</v>
      </c>
      <c r="J6" s="19">
        <v>327507.13</v>
      </c>
      <c r="K6" s="15">
        <f t="shared" ref="K6:K17" si="6">J6*0.30458446</f>
        <v>99753.582337199798</v>
      </c>
      <c r="L6" s="15">
        <f t="shared" ref="L6:L17" si="7">J6*0.238258139</f>
        <v>78031.239303031078</v>
      </c>
      <c r="M6" s="15">
        <f t="shared" ref="M6:M17" si="8">J6*0.457157401</f>
        <v>149722.30835976914</v>
      </c>
      <c r="N6" s="6"/>
      <c r="O6" s="20">
        <v>65248.21</v>
      </c>
      <c r="P6" s="12">
        <f t="shared" ref="P6:P17" si="9">O6*0.30458446</f>
        <v>19873.5908088166</v>
      </c>
      <c r="Q6" s="12">
        <f t="shared" ref="Q6:Q17" si="10">O6*0.238258139</f>
        <v>15545.91708768119</v>
      </c>
      <c r="R6" s="12">
        <f t="shared" ref="R6:R17" si="11">O6*0.457157401</f>
        <v>29828.702103502212</v>
      </c>
      <c r="S6" s="21">
        <v>23545</v>
      </c>
      <c r="T6" s="16">
        <f t="shared" ref="T6:T17" si="12">S6*0.30458446</f>
        <v>7171.4411106999996</v>
      </c>
      <c r="U6" s="16">
        <f t="shared" ref="U6:U17" si="13">S6*0.238258139</f>
        <v>5609.7878827550003</v>
      </c>
      <c r="V6" s="16">
        <f t="shared" ref="V6:V17" si="14">S6*0.457157401</f>
        <v>10763.771006545001</v>
      </c>
      <c r="W6" s="2">
        <v>61240</v>
      </c>
      <c r="X6" s="12">
        <f t="shared" ref="X6:X17" si="15">W6*0.30458446</f>
        <v>18652.752330399999</v>
      </c>
      <c r="Y6" s="12">
        <f t="shared" ref="Y6:Y17" si="16">W6*0.238258139</f>
        <v>14590.92843236</v>
      </c>
      <c r="Z6" s="12">
        <f t="shared" ref="Z6:Z17" si="17">W6*0.457157401</f>
        <v>27996.319237240001</v>
      </c>
      <c r="AA6" s="21">
        <v>16706.310000000001</v>
      </c>
      <c r="AB6" s="12">
        <f t="shared" ref="AB6:AB17" si="18">AA6*0.30458446</f>
        <v>5088.4824099426005</v>
      </c>
      <c r="AC6" s="12">
        <f t="shared" ref="AC6:AC17" si="19">AA6*0.238258139</f>
        <v>3980.4143301570903</v>
      </c>
      <c r="AD6" s="14">
        <f t="shared" ref="AD6:AD17" si="20">AA6*0.457157401</f>
        <v>7637.4132599003105</v>
      </c>
      <c r="AE6" s="21">
        <v>41000</v>
      </c>
      <c r="AF6" s="12">
        <f t="shared" ref="AF6:AF17" si="21">AE6*0.30458446</f>
        <v>12487.96286</v>
      </c>
      <c r="AG6" s="12">
        <f t="shared" ref="AG6:AG17" si="22">AE6*0.238258139</f>
        <v>9768.5836990000007</v>
      </c>
      <c r="AH6" s="12">
        <f t="shared" ref="AH6:AH17" si="23">AE6*0.457157401</f>
        <v>18743.453441000001</v>
      </c>
      <c r="AI6" s="2"/>
      <c r="AJ6" s="22">
        <v>6550.14</v>
      </c>
      <c r="AK6" s="12">
        <f t="shared" ref="AK6:AK17" si="24">AJ6*0.30458446</f>
        <v>1995.0708548244002</v>
      </c>
      <c r="AL6" s="12">
        <f t="shared" ref="AL6:AL17" si="25">AJ6*0.238258139</f>
        <v>1560.6241665894602</v>
      </c>
      <c r="AM6" s="12">
        <f t="shared" ref="AM6:AM17" si="26">AJ6*0.457157401</f>
        <v>2994.4449785861402</v>
      </c>
      <c r="AN6" s="2"/>
      <c r="AO6" s="2">
        <f t="shared" ref="AO6:AO17" si="27">AN6+AJ6+AI6+AE6+AA6+W6+S6+O6</f>
        <v>214289.66</v>
      </c>
      <c r="AP6" s="12">
        <f t="shared" ref="AP6:AP17" si="28">AO6*0.30458446</f>
        <v>65269.300374683604</v>
      </c>
      <c r="AQ6" s="12">
        <f t="shared" ref="AQ6:AQ17" si="29">AO6*0.238258139</f>
        <v>51056.255598542739</v>
      </c>
      <c r="AR6" s="12">
        <f t="shared" ref="AR6:AR17" si="30">AO6*0.457157401</f>
        <v>97964.104026773668</v>
      </c>
      <c r="AS6" s="7">
        <f t="shared" ref="AS6:AS17" si="31">J6-AO6+B6</f>
        <v>24141.130000000005</v>
      </c>
      <c r="AT6" s="14">
        <f t="shared" ref="AT6:AT17" si="32">AS6*0.30458446</f>
        <v>7353.0130448398013</v>
      </c>
      <c r="AU6" s="14">
        <f t="shared" ref="AU6:AU17" si="33">AS6*0.238258139</f>
        <v>5751.8207071570714</v>
      </c>
      <c r="AV6" s="14">
        <f t="shared" ref="AV6:AV17" si="34">AS6*0.457157401</f>
        <v>11036.296248003133</v>
      </c>
      <c r="AW6" s="8"/>
    </row>
    <row r="7" spans="1:49" x14ac:dyDescent="0.25">
      <c r="A7" s="4">
        <v>41334</v>
      </c>
      <c r="B7" s="2">
        <v>-93140.76</v>
      </c>
      <c r="C7" s="12">
        <f t="shared" si="0"/>
        <v>-28369.2280885896</v>
      </c>
      <c r="D7" s="12">
        <f t="shared" si="1"/>
        <v>-22191.544142645638</v>
      </c>
      <c r="E7" s="12">
        <f t="shared" si="2"/>
        <v>-42579.98776876476</v>
      </c>
      <c r="F7" s="5">
        <v>368555.41</v>
      </c>
      <c r="G7" s="23">
        <f t="shared" si="3"/>
        <v>99416.163348155009</v>
      </c>
      <c r="H7" s="23">
        <f t="shared" si="4"/>
        <v>85600.200404567004</v>
      </c>
      <c r="I7" s="23">
        <f t="shared" si="5"/>
        <v>183539.04624727799</v>
      </c>
      <c r="J7" s="19">
        <v>350569.91</v>
      </c>
      <c r="K7" s="15">
        <f t="shared" si="6"/>
        <v>106778.14672959859</v>
      </c>
      <c r="L7" s="15">
        <f t="shared" si="7"/>
        <v>83526.134345997489</v>
      </c>
      <c r="M7" s="15">
        <f t="shared" si="8"/>
        <v>160265.62892440389</v>
      </c>
      <c r="N7" s="6"/>
      <c r="O7" s="20">
        <v>60525.96</v>
      </c>
      <c r="P7" s="12">
        <f t="shared" si="9"/>
        <v>18435.266842581601</v>
      </c>
      <c r="Q7" s="12">
        <f t="shared" si="10"/>
        <v>14420.80259078844</v>
      </c>
      <c r="R7" s="12">
        <f t="shared" si="11"/>
        <v>27669.890566629962</v>
      </c>
      <c r="S7" s="21">
        <v>116331</v>
      </c>
      <c r="T7" s="16">
        <f t="shared" si="12"/>
        <v>35432.61481626</v>
      </c>
      <c r="U7" s="16">
        <f t="shared" si="13"/>
        <v>27716.807568009001</v>
      </c>
      <c r="V7" s="16">
        <f t="shared" si="14"/>
        <v>53181.577615731003</v>
      </c>
      <c r="W7" s="2">
        <v>61240</v>
      </c>
      <c r="X7" s="12">
        <f t="shared" si="15"/>
        <v>18652.752330399999</v>
      </c>
      <c r="Y7" s="12">
        <f t="shared" si="16"/>
        <v>14590.92843236</v>
      </c>
      <c r="Z7" s="12">
        <f t="shared" si="17"/>
        <v>27996.319237240001</v>
      </c>
      <c r="AA7" s="21">
        <v>16706.310000000001</v>
      </c>
      <c r="AB7" s="12">
        <f t="shared" si="18"/>
        <v>5088.4824099426005</v>
      </c>
      <c r="AC7" s="12">
        <f t="shared" si="19"/>
        <v>3980.4143301570903</v>
      </c>
      <c r="AD7" s="14">
        <f t="shared" si="20"/>
        <v>7637.4132599003105</v>
      </c>
      <c r="AE7" s="21">
        <v>41000</v>
      </c>
      <c r="AF7" s="12">
        <f t="shared" si="21"/>
        <v>12487.96286</v>
      </c>
      <c r="AG7" s="12">
        <f t="shared" si="22"/>
        <v>9768.5836990000007</v>
      </c>
      <c r="AH7" s="12">
        <f t="shared" si="23"/>
        <v>18743.453441000001</v>
      </c>
      <c r="AI7" s="2"/>
      <c r="AJ7" s="22">
        <v>7011.4</v>
      </c>
      <c r="AK7" s="12">
        <f t="shared" si="24"/>
        <v>2135.5634828439997</v>
      </c>
      <c r="AL7" s="12">
        <f t="shared" si="25"/>
        <v>1670.5231157845999</v>
      </c>
      <c r="AM7" s="12">
        <f t="shared" si="26"/>
        <v>3205.3134013713998</v>
      </c>
      <c r="AN7" s="2"/>
      <c r="AO7" s="2">
        <f t="shared" si="27"/>
        <v>302814.67000000004</v>
      </c>
      <c r="AP7" s="12">
        <f t="shared" si="28"/>
        <v>92232.642742028213</v>
      </c>
      <c r="AQ7" s="12">
        <f t="shared" si="29"/>
        <v>72148.059736099138</v>
      </c>
      <c r="AR7" s="12">
        <f t="shared" si="30"/>
        <v>138433.96752187269</v>
      </c>
      <c r="AS7" s="7">
        <f t="shared" si="31"/>
        <v>-45385.520000000062</v>
      </c>
      <c r="AT7" s="14">
        <f t="shared" si="32"/>
        <v>-13823.724101019219</v>
      </c>
      <c r="AU7" s="14">
        <f t="shared" si="33"/>
        <v>-10813.469532747295</v>
      </c>
      <c r="AV7" s="14">
        <f t="shared" si="34"/>
        <v>-20748.326366233548</v>
      </c>
    </row>
    <row r="8" spans="1:49" x14ac:dyDescent="0.25">
      <c r="A8" s="4">
        <v>41365</v>
      </c>
      <c r="B8" s="2">
        <v>-22934.55</v>
      </c>
      <c r="C8" s="12">
        <f t="shared" si="0"/>
        <v>-6985.5075270930001</v>
      </c>
      <c r="D8" s="12">
        <f t="shared" si="1"/>
        <v>-5464.3432018024496</v>
      </c>
      <c r="E8" s="12">
        <f t="shared" si="2"/>
        <v>-10484.69927110455</v>
      </c>
      <c r="F8" s="5">
        <v>381777.93</v>
      </c>
      <c r="G8" s="23">
        <f t="shared" si="3"/>
        <v>102982.87861681501</v>
      </c>
      <c r="H8" s="23">
        <f t="shared" si="4"/>
        <v>88671.245710490999</v>
      </c>
      <c r="I8" s="23">
        <f t="shared" si="5"/>
        <v>190123.805672694</v>
      </c>
      <c r="J8" s="19">
        <v>363147.17</v>
      </c>
      <c r="K8" s="15">
        <f t="shared" si="6"/>
        <v>110608.9846749782</v>
      </c>
      <c r="L8" s="15">
        <f t="shared" si="7"/>
        <v>86522.768907316626</v>
      </c>
      <c r="M8" s="15">
        <f t="shared" si="8"/>
        <v>166015.41641770516</v>
      </c>
      <c r="N8" s="6"/>
      <c r="O8" s="20">
        <v>149308.41</v>
      </c>
      <c r="P8" s="12">
        <f t="shared" si="9"/>
        <v>45477.021433308604</v>
      </c>
      <c r="Q8" s="12">
        <f t="shared" si="10"/>
        <v>35573.943903648993</v>
      </c>
      <c r="R8" s="12">
        <f t="shared" si="11"/>
        <v>68257.444663042421</v>
      </c>
      <c r="S8" s="21">
        <v>32000</v>
      </c>
      <c r="T8" s="16">
        <f t="shared" si="12"/>
        <v>9746.7027199999993</v>
      </c>
      <c r="U8" s="16">
        <f t="shared" si="13"/>
        <v>7624.260448</v>
      </c>
      <c r="V8" s="16">
        <f t="shared" si="14"/>
        <v>14629.036832</v>
      </c>
      <c r="W8" s="2">
        <v>61240</v>
      </c>
      <c r="X8" s="12">
        <f t="shared" si="15"/>
        <v>18652.752330399999</v>
      </c>
      <c r="Y8" s="12">
        <f t="shared" si="16"/>
        <v>14590.92843236</v>
      </c>
      <c r="Z8" s="12">
        <f t="shared" si="17"/>
        <v>27996.319237240001</v>
      </c>
      <c r="AA8" s="21">
        <v>16706.310000000001</v>
      </c>
      <c r="AB8" s="12">
        <f t="shared" si="18"/>
        <v>5088.4824099426005</v>
      </c>
      <c r="AC8" s="12">
        <f t="shared" si="19"/>
        <v>3980.4143301570903</v>
      </c>
      <c r="AD8" s="14">
        <f t="shared" si="20"/>
        <v>7637.4132599003105</v>
      </c>
      <c r="AE8" s="21">
        <v>60290</v>
      </c>
      <c r="AF8" s="12">
        <f t="shared" si="21"/>
        <v>18363.397093399999</v>
      </c>
      <c r="AG8" s="12">
        <f t="shared" si="22"/>
        <v>14364.58320031</v>
      </c>
      <c r="AH8" s="12">
        <f t="shared" si="23"/>
        <v>27562.019706290001</v>
      </c>
      <c r="AI8" s="2"/>
      <c r="AJ8" s="22">
        <v>7262.94</v>
      </c>
      <c r="AK8" s="12">
        <f t="shared" si="24"/>
        <v>2212.1786579124</v>
      </c>
      <c r="AL8" s="12">
        <f t="shared" si="25"/>
        <v>1730.4545680686599</v>
      </c>
      <c r="AM8" s="12">
        <f t="shared" si="26"/>
        <v>3320.3067740189399</v>
      </c>
      <c r="AN8" s="2"/>
      <c r="AO8" s="2">
        <f t="shared" si="27"/>
        <v>326807.66000000003</v>
      </c>
      <c r="AP8" s="12">
        <f t="shared" si="28"/>
        <v>99540.534644963613</v>
      </c>
      <c r="AQ8" s="12">
        <f t="shared" si="29"/>
        <v>77864.584882544747</v>
      </c>
      <c r="AR8" s="12">
        <f t="shared" si="30"/>
        <v>149402.54047249167</v>
      </c>
      <c r="AS8" s="7">
        <f t="shared" si="31"/>
        <v>13404.959999999952</v>
      </c>
      <c r="AT8" s="14">
        <f t="shared" si="32"/>
        <v>4082.9425029215854</v>
      </c>
      <c r="AU8" s="14">
        <f t="shared" si="33"/>
        <v>3193.8408229694287</v>
      </c>
      <c r="AV8" s="14">
        <f t="shared" si="34"/>
        <v>6128.1766741089386</v>
      </c>
    </row>
    <row r="9" spans="1:49" x14ac:dyDescent="0.25">
      <c r="A9" s="4">
        <v>41395</v>
      </c>
      <c r="B9" s="2">
        <v>-70937.929999999993</v>
      </c>
      <c r="C9" s="12">
        <f t="shared" si="0"/>
        <v>-21606.5911025678</v>
      </c>
      <c r="D9" s="12">
        <f t="shared" si="1"/>
        <v>-16901.539186312268</v>
      </c>
      <c r="E9" s="12">
        <f t="shared" si="2"/>
        <v>-32429.799711119929</v>
      </c>
      <c r="F9" s="5">
        <v>377078.29</v>
      </c>
      <c r="G9" s="23">
        <f t="shared" si="3"/>
        <v>101715.17187519501</v>
      </c>
      <c r="H9" s="23">
        <f t="shared" si="4"/>
        <v>87579.713433622994</v>
      </c>
      <c r="I9" s="23">
        <f t="shared" si="5"/>
        <v>187783.40469118199</v>
      </c>
      <c r="J9" s="19">
        <v>358676.87</v>
      </c>
      <c r="K9" s="15">
        <f t="shared" si="6"/>
        <v>109247.40076344019</v>
      </c>
      <c r="L9" s="15">
        <f t="shared" si="7"/>
        <v>85457.683548544926</v>
      </c>
      <c r="M9" s="15">
        <f t="shared" si="8"/>
        <v>163971.78568801488</v>
      </c>
      <c r="N9" s="6"/>
      <c r="O9" s="20">
        <v>269106.90000000002</v>
      </c>
      <c r="P9" s="12">
        <f t="shared" si="9"/>
        <v>81965.779818774012</v>
      </c>
      <c r="Q9" s="12">
        <f t="shared" si="10"/>
        <v>64116.909186059107</v>
      </c>
      <c r="R9" s="12">
        <f t="shared" si="11"/>
        <v>123024.21099516691</v>
      </c>
      <c r="S9" s="21">
        <v>72406</v>
      </c>
      <c r="T9" s="16">
        <f t="shared" si="12"/>
        <v>22053.742410760002</v>
      </c>
      <c r="U9" s="16">
        <f t="shared" si="13"/>
        <v>17251.318812434001</v>
      </c>
      <c r="V9" s="16">
        <f t="shared" si="14"/>
        <v>33100.938776806004</v>
      </c>
      <c r="W9" s="2">
        <v>61240</v>
      </c>
      <c r="X9" s="12">
        <f t="shared" si="15"/>
        <v>18652.752330399999</v>
      </c>
      <c r="Y9" s="12">
        <f t="shared" si="16"/>
        <v>14590.92843236</v>
      </c>
      <c r="Z9" s="12">
        <f t="shared" si="17"/>
        <v>27996.319237240001</v>
      </c>
      <c r="AA9" s="21">
        <v>16706.310000000001</v>
      </c>
      <c r="AB9" s="12">
        <f t="shared" si="18"/>
        <v>5088.4824099426005</v>
      </c>
      <c r="AC9" s="12">
        <f t="shared" si="19"/>
        <v>3980.4143301570903</v>
      </c>
      <c r="AD9" s="14">
        <f t="shared" si="20"/>
        <v>7637.4132599003105</v>
      </c>
      <c r="AE9" s="21">
        <v>68290</v>
      </c>
      <c r="AF9" s="12">
        <f t="shared" si="21"/>
        <v>20800.072773399999</v>
      </c>
      <c r="AG9" s="12">
        <f t="shared" si="22"/>
        <v>16270.648312310001</v>
      </c>
      <c r="AH9" s="12">
        <f t="shared" si="23"/>
        <v>31219.27891429</v>
      </c>
      <c r="AI9" s="2"/>
      <c r="AJ9" s="22">
        <v>7173.54</v>
      </c>
      <c r="AK9" s="12">
        <f t="shared" si="24"/>
        <v>2184.9488071884002</v>
      </c>
      <c r="AL9" s="12">
        <f t="shared" si="25"/>
        <v>1709.1542904420601</v>
      </c>
      <c r="AM9" s="12">
        <f t="shared" si="26"/>
        <v>3279.4369023695399</v>
      </c>
      <c r="AN9" s="2"/>
      <c r="AO9" s="2">
        <f t="shared" si="27"/>
        <v>494922.75</v>
      </c>
      <c r="AP9" s="12">
        <f t="shared" si="28"/>
        <v>150745.77855046501</v>
      </c>
      <c r="AQ9" s="12">
        <f t="shared" si="29"/>
        <v>117919.37336376225</v>
      </c>
      <c r="AR9" s="12">
        <f t="shared" si="30"/>
        <v>226257.59808577277</v>
      </c>
      <c r="AS9" s="7">
        <f t="shared" si="31"/>
        <v>-207183.81</v>
      </c>
      <c r="AT9" s="14">
        <f t="shared" si="32"/>
        <v>-63104.968889592601</v>
      </c>
      <c r="AU9" s="14">
        <f t="shared" si="33"/>
        <v>-49363.229001529588</v>
      </c>
      <c r="AV9" s="14">
        <f t="shared" si="34"/>
        <v>-94715.612108877816</v>
      </c>
    </row>
    <row r="10" spans="1:49" x14ac:dyDescent="0.25">
      <c r="A10" s="4">
        <v>41426</v>
      </c>
      <c r="B10" s="2">
        <v>-54796.02</v>
      </c>
      <c r="C10" s="12">
        <f t="shared" si="0"/>
        <v>-16690.016161849198</v>
      </c>
      <c r="D10" s="12">
        <f t="shared" si="1"/>
        <v>-13055.59774980678</v>
      </c>
      <c r="E10" s="12">
        <f t="shared" si="2"/>
        <v>-25050.406088344018</v>
      </c>
      <c r="F10" s="5">
        <v>444082.7</v>
      </c>
      <c r="G10" s="23">
        <f t="shared" si="3"/>
        <v>119789.30995285002</v>
      </c>
      <c r="H10" s="23">
        <f t="shared" si="4"/>
        <v>103142.07059449001</v>
      </c>
      <c r="I10" s="23">
        <f t="shared" si="5"/>
        <v>221151.31945266001</v>
      </c>
      <c r="J10" s="19">
        <v>422411.46</v>
      </c>
      <c r="K10" s="15">
        <f t="shared" si="6"/>
        <v>128659.9664419116</v>
      </c>
      <c r="L10" s="15">
        <f t="shared" si="7"/>
        <v>100642.96835187294</v>
      </c>
      <c r="M10" s="15">
        <f t="shared" si="8"/>
        <v>193108.52520621548</v>
      </c>
      <c r="N10" s="6"/>
      <c r="O10" s="21">
        <v>240774</v>
      </c>
      <c r="P10" s="12">
        <f t="shared" si="9"/>
        <v>73336.018772039999</v>
      </c>
      <c r="Q10" s="12">
        <f t="shared" si="10"/>
        <v>57366.365159585999</v>
      </c>
      <c r="R10" s="12">
        <f t="shared" si="11"/>
        <v>110071.616068374</v>
      </c>
      <c r="S10" s="21">
        <v>0</v>
      </c>
      <c r="T10" s="16">
        <f t="shared" si="12"/>
        <v>0</v>
      </c>
      <c r="U10" s="16">
        <f t="shared" si="13"/>
        <v>0</v>
      </c>
      <c r="V10" s="16">
        <f t="shared" si="14"/>
        <v>0</v>
      </c>
      <c r="W10" s="2">
        <v>61240</v>
      </c>
      <c r="X10" s="12">
        <f t="shared" si="15"/>
        <v>18652.752330399999</v>
      </c>
      <c r="Y10" s="12">
        <f t="shared" si="16"/>
        <v>14590.92843236</v>
      </c>
      <c r="Z10" s="12">
        <f t="shared" si="17"/>
        <v>27996.319237240001</v>
      </c>
      <c r="AA10" s="21">
        <v>16706.310000000001</v>
      </c>
      <c r="AB10" s="12">
        <f t="shared" si="18"/>
        <v>5088.4824099426005</v>
      </c>
      <c r="AC10" s="12">
        <f t="shared" si="19"/>
        <v>3980.4143301570903</v>
      </c>
      <c r="AD10" s="14">
        <f t="shared" si="20"/>
        <v>7637.4132599003105</v>
      </c>
      <c r="AE10" s="21">
        <v>60290</v>
      </c>
      <c r="AF10" s="12">
        <f t="shared" si="21"/>
        <v>18363.397093399999</v>
      </c>
      <c r="AG10" s="12">
        <f t="shared" si="22"/>
        <v>14364.58320031</v>
      </c>
      <c r="AH10" s="12">
        <f t="shared" si="23"/>
        <v>27562.019706290001</v>
      </c>
      <c r="AI10" s="2"/>
      <c r="AJ10" s="22">
        <v>8448.23</v>
      </c>
      <c r="AK10" s="12">
        <f t="shared" si="24"/>
        <v>2573.1995725058</v>
      </c>
      <c r="AL10" s="12">
        <f t="shared" si="25"/>
        <v>2012.85955764397</v>
      </c>
      <c r="AM10" s="12">
        <f t="shared" si="26"/>
        <v>3862.1708698502298</v>
      </c>
      <c r="AN10" s="2"/>
      <c r="AO10" s="2">
        <f t="shared" si="27"/>
        <v>387458.54</v>
      </c>
      <c r="AP10" s="12">
        <f t="shared" si="28"/>
        <v>118013.8501782884</v>
      </c>
      <c r="AQ10" s="12">
        <f t="shared" si="29"/>
        <v>92315.150680057064</v>
      </c>
      <c r="AR10" s="12">
        <f t="shared" si="30"/>
        <v>177129.53914165453</v>
      </c>
      <c r="AS10" s="7">
        <f t="shared" si="31"/>
        <v>-19843.099999999955</v>
      </c>
      <c r="AT10" s="14">
        <f t="shared" si="32"/>
        <v>-6043.8998982259864</v>
      </c>
      <c r="AU10" s="14">
        <f t="shared" si="33"/>
        <v>-4727.7800779908894</v>
      </c>
      <c r="AV10" s="14">
        <f t="shared" si="34"/>
        <v>-9071.4200237830792</v>
      </c>
    </row>
    <row r="11" spans="1:49" x14ac:dyDescent="0.25">
      <c r="A11" s="4">
        <v>41456</v>
      </c>
      <c r="B11" s="2">
        <v>-7522.08</v>
      </c>
      <c r="C11" s="12">
        <f t="shared" si="0"/>
        <v>-2291.1086748767998</v>
      </c>
      <c r="D11" s="12">
        <f t="shared" si="1"/>
        <v>-1792.1967822091201</v>
      </c>
      <c r="E11" s="12">
        <f t="shared" si="2"/>
        <v>-3438.77454291408</v>
      </c>
      <c r="F11" s="5">
        <v>528152.77</v>
      </c>
      <c r="G11" s="23">
        <f t="shared" si="3"/>
        <v>142466.83302003503</v>
      </c>
      <c r="H11" s="23">
        <f t="shared" si="4"/>
        <v>122668.07576159902</v>
      </c>
      <c r="I11" s="23">
        <f t="shared" si="5"/>
        <v>263017.86121836602</v>
      </c>
      <c r="J11" s="19">
        <v>502378.91</v>
      </c>
      <c r="K11" s="15">
        <f t="shared" si="6"/>
        <v>153016.80901773859</v>
      </c>
      <c r="L11" s="15">
        <f t="shared" si="7"/>
        <v>119695.86416944848</v>
      </c>
      <c r="M11" s="15">
        <f t="shared" si="8"/>
        <v>229666.23681281292</v>
      </c>
      <c r="N11" s="6"/>
      <c r="O11" s="21">
        <v>341945</v>
      </c>
      <c r="P11" s="12">
        <f t="shared" si="9"/>
        <v>104151.13317470001</v>
      </c>
      <c r="Q11" s="12">
        <f t="shared" si="10"/>
        <v>81471.179340354996</v>
      </c>
      <c r="R11" s="12">
        <f t="shared" si="11"/>
        <v>156322.687484945</v>
      </c>
      <c r="S11" s="21">
        <v>61518.38</v>
      </c>
      <c r="T11" s="16">
        <f t="shared" si="12"/>
        <v>18737.542552374798</v>
      </c>
      <c r="U11" s="16">
        <f t="shared" si="13"/>
        <v>14657.25473309482</v>
      </c>
      <c r="V11" s="16">
        <f t="shared" si="14"/>
        <v>28123.582714530381</v>
      </c>
      <c r="W11" s="2">
        <v>61240</v>
      </c>
      <c r="X11" s="12">
        <f t="shared" si="15"/>
        <v>18652.752330399999</v>
      </c>
      <c r="Y11" s="12">
        <f t="shared" si="16"/>
        <v>14590.92843236</v>
      </c>
      <c r="Z11" s="12">
        <f t="shared" si="17"/>
        <v>27996.319237240001</v>
      </c>
      <c r="AA11" s="21">
        <v>16706.310000000001</v>
      </c>
      <c r="AB11" s="12">
        <f t="shared" si="18"/>
        <v>5088.4824099426005</v>
      </c>
      <c r="AC11" s="12">
        <f t="shared" si="19"/>
        <v>3980.4143301570903</v>
      </c>
      <c r="AD11" s="14">
        <f t="shared" si="20"/>
        <v>7637.4132599003105</v>
      </c>
      <c r="AE11" s="21">
        <v>60290</v>
      </c>
      <c r="AF11" s="12">
        <f t="shared" si="21"/>
        <v>18363.397093399999</v>
      </c>
      <c r="AG11" s="12">
        <f t="shared" si="22"/>
        <v>14364.58320031</v>
      </c>
      <c r="AH11" s="12">
        <f t="shared" si="23"/>
        <v>27562.019706290001</v>
      </c>
      <c r="AI11" s="2"/>
      <c r="AJ11" s="22">
        <v>10047.58</v>
      </c>
      <c r="AK11" s="12">
        <f t="shared" si="24"/>
        <v>3060.3367286068001</v>
      </c>
      <c r="AL11" s="12">
        <f t="shared" si="25"/>
        <v>2393.9177122536203</v>
      </c>
      <c r="AM11" s="12">
        <f t="shared" si="26"/>
        <v>4593.32555913958</v>
      </c>
      <c r="AN11" s="2"/>
      <c r="AO11" s="2">
        <f t="shared" si="27"/>
        <v>551747.27</v>
      </c>
      <c r="AP11" s="12">
        <f t="shared" si="28"/>
        <v>168053.64428942421</v>
      </c>
      <c r="AQ11" s="12">
        <f t="shared" si="29"/>
        <v>131458.27774853053</v>
      </c>
      <c r="AR11" s="12">
        <f t="shared" si="30"/>
        <v>252235.34796204529</v>
      </c>
      <c r="AS11" s="7">
        <f t="shared" si="31"/>
        <v>-56890.440000000046</v>
      </c>
      <c r="AT11" s="14">
        <f t="shared" si="32"/>
        <v>-17327.943946562413</v>
      </c>
      <c r="AU11" s="14">
        <f t="shared" si="33"/>
        <v>-13554.610361291172</v>
      </c>
      <c r="AV11" s="14">
        <f t="shared" si="34"/>
        <v>-26007.885692146461</v>
      </c>
    </row>
    <row r="12" spans="1:49" x14ac:dyDescent="0.25">
      <c r="A12" s="4">
        <v>41487</v>
      </c>
      <c r="B12" s="2">
        <v>75278.789999999994</v>
      </c>
      <c r="C12" s="12">
        <f t="shared" si="0"/>
        <v>22928.749601603398</v>
      </c>
      <c r="D12" s="12">
        <f t="shared" si="1"/>
        <v>17935.784411571811</v>
      </c>
      <c r="E12" s="12">
        <f t="shared" si="2"/>
        <v>34414.255986824792</v>
      </c>
      <c r="F12" s="5">
        <v>596666.24</v>
      </c>
      <c r="G12" s="23">
        <f t="shared" si="3"/>
        <v>160948.03324192003</v>
      </c>
      <c r="H12" s="23">
        <f t="shared" si="4"/>
        <v>138580.92523628799</v>
      </c>
      <c r="I12" s="23">
        <f t="shared" si="5"/>
        <v>297137.281521792</v>
      </c>
      <c r="J12" s="19">
        <v>567548.93000000005</v>
      </c>
      <c r="K12" s="15">
        <f t="shared" si="6"/>
        <v>172866.5843676278</v>
      </c>
      <c r="L12" s="15">
        <f t="shared" si="7"/>
        <v>135223.15185324129</v>
      </c>
      <c r="M12" s="15">
        <f t="shared" si="8"/>
        <v>259459.19377913096</v>
      </c>
      <c r="N12" s="6"/>
      <c r="O12" s="21">
        <v>412431</v>
      </c>
      <c r="P12" s="12">
        <f t="shared" si="9"/>
        <v>125620.07342226</v>
      </c>
      <c r="Q12" s="12">
        <f t="shared" si="10"/>
        <v>98265.042525908997</v>
      </c>
      <c r="R12" s="12">
        <f t="shared" si="11"/>
        <v>188545.884051831</v>
      </c>
      <c r="S12" s="21">
        <v>158911.09</v>
      </c>
      <c r="T12" s="16">
        <f t="shared" si="12"/>
        <v>48401.848535661396</v>
      </c>
      <c r="U12" s="16">
        <f t="shared" si="13"/>
        <v>37861.860569861514</v>
      </c>
      <c r="V12" s="16">
        <f t="shared" si="14"/>
        <v>72647.380894477086</v>
      </c>
      <c r="W12" s="2">
        <v>61240</v>
      </c>
      <c r="X12" s="12">
        <f t="shared" si="15"/>
        <v>18652.752330399999</v>
      </c>
      <c r="Y12" s="12">
        <f t="shared" si="16"/>
        <v>14590.92843236</v>
      </c>
      <c r="Z12" s="12">
        <f t="shared" si="17"/>
        <v>27996.319237240001</v>
      </c>
      <c r="AA12" s="21">
        <v>16706.310000000001</v>
      </c>
      <c r="AB12" s="12">
        <f t="shared" si="18"/>
        <v>5088.4824099426005</v>
      </c>
      <c r="AC12" s="12">
        <f t="shared" si="19"/>
        <v>3980.4143301570903</v>
      </c>
      <c r="AD12" s="14">
        <f t="shared" si="20"/>
        <v>7637.4132599003105</v>
      </c>
      <c r="AE12" s="21">
        <v>60290</v>
      </c>
      <c r="AF12" s="12">
        <f t="shared" si="21"/>
        <v>18363.397093399999</v>
      </c>
      <c r="AG12" s="12">
        <f t="shared" si="22"/>
        <v>14364.58320031</v>
      </c>
      <c r="AH12" s="12">
        <f t="shared" si="23"/>
        <v>27562.019706290001</v>
      </c>
      <c r="AI12" s="2"/>
      <c r="AJ12" s="22">
        <v>11350.98</v>
      </c>
      <c r="AK12" s="12">
        <f t="shared" si="24"/>
        <v>3457.3321137707999</v>
      </c>
      <c r="AL12" s="12">
        <f t="shared" si="25"/>
        <v>2704.4633706262198</v>
      </c>
      <c r="AM12" s="12">
        <f t="shared" si="26"/>
        <v>5189.1845156029804</v>
      </c>
      <c r="AN12" s="2"/>
      <c r="AO12" s="2">
        <f t="shared" si="27"/>
        <v>720929.38</v>
      </c>
      <c r="AP12" s="12">
        <f t="shared" si="28"/>
        <v>219583.88590543481</v>
      </c>
      <c r="AQ12" s="12">
        <f t="shared" si="29"/>
        <v>171767.29242922383</v>
      </c>
      <c r="AR12" s="12">
        <f t="shared" si="30"/>
        <v>329578.20166534139</v>
      </c>
      <c r="AS12" s="7">
        <f t="shared" si="31"/>
        <v>-78101.65999999996</v>
      </c>
      <c r="AT12" s="14">
        <f t="shared" si="32"/>
        <v>-23788.551936203588</v>
      </c>
      <c r="AU12" s="14">
        <f t="shared" si="33"/>
        <v>-18608.356164410732</v>
      </c>
      <c r="AV12" s="14">
        <f t="shared" si="34"/>
        <v>-35704.751899385643</v>
      </c>
    </row>
    <row r="13" spans="1:49" x14ac:dyDescent="0.25">
      <c r="A13" s="4">
        <v>41518</v>
      </c>
      <c r="B13" s="2">
        <v>210388.58</v>
      </c>
      <c r="C13" s="12">
        <f t="shared" si="0"/>
        <v>64081.092029466796</v>
      </c>
      <c r="D13" s="12">
        <f t="shared" si="1"/>
        <v>50126.791537652622</v>
      </c>
      <c r="E13" s="12">
        <f t="shared" si="2"/>
        <v>96180.696432880577</v>
      </c>
      <c r="F13" s="5">
        <v>637993</v>
      </c>
      <c r="G13" s="23">
        <f t="shared" si="3"/>
        <v>172095.7407815</v>
      </c>
      <c r="H13" s="23">
        <f t="shared" si="4"/>
        <v>148179.42478910001</v>
      </c>
      <c r="I13" s="23">
        <f t="shared" si="5"/>
        <v>317717.83442939998</v>
      </c>
      <c r="J13" s="19">
        <v>606858.93999999994</v>
      </c>
      <c r="K13" s="15">
        <f t="shared" si="6"/>
        <v>184839.80253607238</v>
      </c>
      <c r="L13" s="15">
        <f t="shared" si="7"/>
        <v>144589.08167991266</v>
      </c>
      <c r="M13" s="15">
        <f t="shared" si="8"/>
        <v>277430.05578401493</v>
      </c>
      <c r="N13" s="6"/>
      <c r="O13" s="21">
        <v>411981</v>
      </c>
      <c r="P13" s="12">
        <f t="shared" si="9"/>
        <v>125483.01041526</v>
      </c>
      <c r="Q13" s="12">
        <f t="shared" si="10"/>
        <v>98157.82636335901</v>
      </c>
      <c r="R13" s="12">
        <f t="shared" si="11"/>
        <v>188340.16322138099</v>
      </c>
      <c r="S13" s="21">
        <v>97785</v>
      </c>
      <c r="T13" s="16">
        <f t="shared" si="12"/>
        <v>29783.791421099999</v>
      </c>
      <c r="U13" s="16">
        <f t="shared" si="13"/>
        <v>23298.072122115002</v>
      </c>
      <c r="V13" s="16">
        <f t="shared" si="14"/>
        <v>44703.136456785003</v>
      </c>
      <c r="W13" s="2">
        <v>61240</v>
      </c>
      <c r="X13" s="12">
        <f t="shared" si="15"/>
        <v>18652.752330399999</v>
      </c>
      <c r="Y13" s="12">
        <f t="shared" si="16"/>
        <v>14590.92843236</v>
      </c>
      <c r="Z13" s="12">
        <f t="shared" si="17"/>
        <v>27996.319237240001</v>
      </c>
      <c r="AA13" s="21">
        <v>16706.310000000001</v>
      </c>
      <c r="AB13" s="12">
        <f t="shared" si="18"/>
        <v>5088.4824099426005</v>
      </c>
      <c r="AC13" s="12">
        <f t="shared" si="19"/>
        <v>3980.4143301570903</v>
      </c>
      <c r="AD13" s="14">
        <f t="shared" si="20"/>
        <v>7637.4132599003105</v>
      </c>
      <c r="AE13" s="21">
        <v>60290</v>
      </c>
      <c r="AF13" s="12">
        <f t="shared" si="21"/>
        <v>18363.397093399999</v>
      </c>
      <c r="AG13" s="12">
        <f t="shared" si="22"/>
        <v>14364.58320031</v>
      </c>
      <c r="AH13" s="12">
        <f t="shared" si="23"/>
        <v>27562.019706290001</v>
      </c>
      <c r="AI13" s="2"/>
      <c r="AJ13" s="22">
        <v>12137.18</v>
      </c>
      <c r="AK13" s="12">
        <f t="shared" si="24"/>
        <v>3696.7964162228</v>
      </c>
      <c r="AL13" s="12">
        <f t="shared" si="25"/>
        <v>2891.7819195080201</v>
      </c>
      <c r="AM13" s="12">
        <f t="shared" si="26"/>
        <v>5548.6016642691802</v>
      </c>
      <c r="AN13" s="2"/>
      <c r="AO13" s="2">
        <f t="shared" si="27"/>
        <v>660139.49</v>
      </c>
      <c r="AP13" s="12">
        <f t="shared" si="28"/>
        <v>201068.23008632541</v>
      </c>
      <c r="AQ13" s="12">
        <f t="shared" si="29"/>
        <v>157283.60636780912</v>
      </c>
      <c r="AR13" s="12">
        <f t="shared" si="30"/>
        <v>301787.6535458655</v>
      </c>
      <c r="AS13" s="7">
        <f t="shared" si="31"/>
        <v>157108.02999999994</v>
      </c>
      <c r="AT13" s="14">
        <f t="shared" si="32"/>
        <v>47852.664479213781</v>
      </c>
      <c r="AU13" s="14">
        <f t="shared" si="33"/>
        <v>37432.266849756154</v>
      </c>
      <c r="AV13" s="14">
        <f t="shared" si="34"/>
        <v>71823.098671030006</v>
      </c>
    </row>
    <row r="14" spans="1:49" x14ac:dyDescent="0.25">
      <c r="A14" s="4">
        <v>41548</v>
      </c>
      <c r="B14" s="2">
        <v>189943.81</v>
      </c>
      <c r="C14" s="12">
        <f t="shared" si="0"/>
        <v>57853.932799192597</v>
      </c>
      <c r="D14" s="12">
        <f t="shared" si="1"/>
        <v>45255.65868516959</v>
      </c>
      <c r="E14" s="12">
        <f t="shared" si="2"/>
        <v>86834.218515637811</v>
      </c>
      <c r="F14" s="5">
        <v>640608.55000000005</v>
      </c>
      <c r="G14" s="23">
        <f t="shared" si="3"/>
        <v>172801.27362402502</v>
      </c>
      <c r="H14" s="23">
        <f t="shared" si="4"/>
        <v>148786.90903188501</v>
      </c>
      <c r="I14" s="23">
        <f t="shared" si="5"/>
        <v>319020.36734409002</v>
      </c>
      <c r="J14" s="19">
        <v>609346.85</v>
      </c>
      <c r="K14" s="15">
        <f t="shared" si="6"/>
        <v>185597.581259951</v>
      </c>
      <c r="L14" s="15">
        <f t="shared" si="7"/>
        <v>145181.84648651214</v>
      </c>
      <c r="M14" s="15">
        <f t="shared" si="8"/>
        <v>278567.42225353688</v>
      </c>
      <c r="N14" s="6"/>
      <c r="O14" s="21">
        <v>386042</v>
      </c>
      <c r="P14" s="12">
        <f t="shared" si="9"/>
        <v>117582.39410732</v>
      </c>
      <c r="Q14" s="12">
        <f t="shared" si="10"/>
        <v>91977.648495838002</v>
      </c>
      <c r="R14" s="12">
        <f t="shared" si="11"/>
        <v>176481.95739684202</v>
      </c>
      <c r="S14" s="21">
        <v>111944</v>
      </c>
      <c r="T14" s="16">
        <f t="shared" si="12"/>
        <v>34096.402790239998</v>
      </c>
      <c r="U14" s="16">
        <f t="shared" si="13"/>
        <v>26671.569112216002</v>
      </c>
      <c r="V14" s="16">
        <f t="shared" si="14"/>
        <v>51176.028097544004</v>
      </c>
      <c r="W14" s="2">
        <v>61240</v>
      </c>
      <c r="X14" s="12">
        <f t="shared" si="15"/>
        <v>18652.752330399999</v>
      </c>
      <c r="Y14" s="12">
        <f t="shared" si="16"/>
        <v>14590.92843236</v>
      </c>
      <c r="Z14" s="12">
        <f t="shared" si="17"/>
        <v>27996.319237240001</v>
      </c>
      <c r="AA14" s="21">
        <v>16706.310000000001</v>
      </c>
      <c r="AB14" s="12">
        <f t="shared" si="18"/>
        <v>5088.4824099426005</v>
      </c>
      <c r="AC14" s="12">
        <f t="shared" si="19"/>
        <v>3980.4143301570903</v>
      </c>
      <c r="AD14" s="14">
        <f t="shared" si="20"/>
        <v>7637.4132599003105</v>
      </c>
      <c r="AE14" s="21">
        <v>57257.32</v>
      </c>
      <c r="AF14" s="12">
        <f t="shared" si="21"/>
        <v>17439.6898932472</v>
      </c>
      <c r="AG14" s="12">
        <f t="shared" si="22"/>
        <v>13642.02250732748</v>
      </c>
      <c r="AH14" s="12">
        <f t="shared" si="23"/>
        <v>26175.607599425322</v>
      </c>
      <c r="AI14" s="2"/>
      <c r="AJ14" s="22">
        <v>12186.94</v>
      </c>
      <c r="AK14" s="12">
        <f t="shared" si="24"/>
        <v>3711.9525389524001</v>
      </c>
      <c r="AL14" s="12">
        <f t="shared" si="25"/>
        <v>2903.6376445046603</v>
      </c>
      <c r="AM14" s="12">
        <f t="shared" si="26"/>
        <v>5571.3498165429401</v>
      </c>
      <c r="AN14" s="2"/>
      <c r="AO14" s="2">
        <f t="shared" si="27"/>
        <v>645376.57000000007</v>
      </c>
      <c r="AP14" s="12">
        <f t="shared" si="28"/>
        <v>196571.67407010222</v>
      </c>
      <c r="AQ14" s="12">
        <f t="shared" si="29"/>
        <v>153766.22052240325</v>
      </c>
      <c r="AR14" s="12">
        <f t="shared" si="30"/>
        <v>295038.67540749459</v>
      </c>
      <c r="AS14" s="7">
        <f t="shared" si="31"/>
        <v>153914.08999999991</v>
      </c>
      <c r="AT14" s="14">
        <f t="shared" si="32"/>
        <v>46879.839989041371</v>
      </c>
      <c r="AU14" s="14">
        <f t="shared" si="33"/>
        <v>36671.284649278488</v>
      </c>
      <c r="AV14" s="14">
        <f t="shared" si="34"/>
        <v>70362.96536168005</v>
      </c>
    </row>
    <row r="15" spans="1:49" x14ac:dyDescent="0.25">
      <c r="A15" s="4">
        <v>41579</v>
      </c>
      <c r="B15" s="2">
        <v>133091.17000000001</v>
      </c>
      <c r="C15" s="12">
        <f t="shared" si="0"/>
        <v>40537.502145218205</v>
      </c>
      <c r="D15" s="12">
        <f t="shared" si="1"/>
        <v>31710.054481532636</v>
      </c>
      <c r="E15" s="12">
        <f t="shared" si="2"/>
        <v>60843.61337324918</v>
      </c>
      <c r="F15" s="5">
        <v>643887.19999999995</v>
      </c>
      <c r="G15" s="23">
        <f t="shared" si="3"/>
        <v>173685.6747076</v>
      </c>
      <c r="H15" s="23">
        <f t="shared" si="4"/>
        <v>149548.40401863999</v>
      </c>
      <c r="I15" s="23">
        <f t="shared" si="5"/>
        <v>320653.12127375999</v>
      </c>
      <c r="J15" s="19">
        <v>612465.5</v>
      </c>
      <c r="K15" s="15">
        <f t="shared" si="6"/>
        <v>186547.47358613001</v>
      </c>
      <c r="L15" s="15">
        <f t="shared" si="7"/>
        <v>145924.89023170451</v>
      </c>
      <c r="M15" s="15">
        <f t="shared" si="8"/>
        <v>279993.13618216553</v>
      </c>
      <c r="N15" s="6"/>
      <c r="O15" s="21">
        <v>389056</v>
      </c>
      <c r="P15" s="12">
        <f t="shared" si="9"/>
        <v>118500.41166976</v>
      </c>
      <c r="Q15" s="12">
        <f t="shared" si="10"/>
        <v>92695.758526784004</v>
      </c>
      <c r="R15" s="12">
        <f t="shared" si="11"/>
        <v>177859.829803456</v>
      </c>
      <c r="S15" s="21">
        <v>97204</v>
      </c>
      <c r="T15" s="16">
        <f t="shared" si="12"/>
        <v>29606.82784984</v>
      </c>
      <c r="U15" s="16">
        <f t="shared" si="13"/>
        <v>23159.644143355999</v>
      </c>
      <c r="V15" s="16">
        <f t="shared" si="14"/>
        <v>44437.528006804001</v>
      </c>
      <c r="W15" s="2">
        <v>61240</v>
      </c>
      <c r="X15" s="12">
        <f t="shared" si="15"/>
        <v>18652.752330399999</v>
      </c>
      <c r="Y15" s="12">
        <f t="shared" si="16"/>
        <v>14590.92843236</v>
      </c>
      <c r="Z15" s="12">
        <f t="shared" si="17"/>
        <v>27996.319237240001</v>
      </c>
      <c r="AA15" s="21">
        <v>16706.310000000001</v>
      </c>
      <c r="AB15" s="12">
        <f t="shared" si="18"/>
        <v>5088.4824099426005</v>
      </c>
      <c r="AC15" s="12">
        <f t="shared" si="19"/>
        <v>3980.4143301570903</v>
      </c>
      <c r="AD15" s="14">
        <f t="shared" si="20"/>
        <v>7637.4132599003105</v>
      </c>
      <c r="AE15" s="21">
        <v>60290</v>
      </c>
      <c r="AF15" s="12">
        <f t="shared" si="21"/>
        <v>18363.397093399999</v>
      </c>
      <c r="AG15" s="12">
        <f t="shared" si="22"/>
        <v>14364.58320031</v>
      </c>
      <c r="AH15" s="12">
        <f t="shared" si="23"/>
        <v>27562.019706290001</v>
      </c>
      <c r="AI15" s="2"/>
      <c r="AJ15" s="22">
        <v>12249.31</v>
      </c>
      <c r="AK15" s="12">
        <f t="shared" si="24"/>
        <v>3730.9494717225998</v>
      </c>
      <c r="AL15" s="12">
        <f t="shared" si="25"/>
        <v>2918.4978046340898</v>
      </c>
      <c r="AM15" s="12">
        <f t="shared" si="26"/>
        <v>5599.8627236433103</v>
      </c>
      <c r="AN15" s="2"/>
      <c r="AO15" s="2">
        <f t="shared" si="27"/>
        <v>636745.62</v>
      </c>
      <c r="AP15" s="12">
        <f t="shared" si="28"/>
        <v>193942.8208250652</v>
      </c>
      <c r="AQ15" s="12">
        <f t="shared" si="29"/>
        <v>151709.82643760118</v>
      </c>
      <c r="AR15" s="12">
        <f t="shared" si="30"/>
        <v>291092.97273733362</v>
      </c>
      <c r="AS15" s="7">
        <f t="shared" si="31"/>
        <v>108811.05000000002</v>
      </c>
      <c r="AT15" s="14">
        <f t="shared" si="32"/>
        <v>33142.154906283009</v>
      </c>
      <c r="AU15" s="14">
        <f t="shared" si="33"/>
        <v>25925.118275635956</v>
      </c>
      <c r="AV15" s="14">
        <f t="shared" si="34"/>
        <v>49743.77681808106</v>
      </c>
    </row>
    <row r="16" spans="1:49" x14ac:dyDescent="0.25">
      <c r="A16" s="4">
        <v>41609</v>
      </c>
      <c r="B16" s="2">
        <v>-419758.25</v>
      </c>
      <c r="C16" s="12">
        <f t="shared" si="0"/>
        <v>-127851.83990679499</v>
      </c>
      <c r="D16" s="12">
        <f t="shared" si="1"/>
        <v>-100010.81947489675</v>
      </c>
      <c r="E16" s="12">
        <f t="shared" si="2"/>
        <v>-191895.59061830826</v>
      </c>
      <c r="F16" s="5">
        <v>646297.11</v>
      </c>
      <c r="G16" s="23">
        <f t="shared" si="3"/>
        <v>174335.73708550501</v>
      </c>
      <c r="H16" s="23">
        <f t="shared" si="4"/>
        <v>150108.12658235701</v>
      </c>
      <c r="I16" s="23">
        <f t="shared" si="5"/>
        <v>321853.24633213796</v>
      </c>
      <c r="J16" s="19">
        <v>614757.81000000006</v>
      </c>
      <c r="K16" s="15">
        <f t="shared" si="6"/>
        <v>187245.67558963262</v>
      </c>
      <c r="L16" s="15">
        <f t="shared" si="7"/>
        <v>146471.05174631561</v>
      </c>
      <c r="M16" s="15">
        <f t="shared" si="8"/>
        <v>281041.08266405185</v>
      </c>
      <c r="N16" s="6"/>
      <c r="O16" s="21">
        <v>416760</v>
      </c>
      <c r="P16" s="12">
        <f t="shared" si="9"/>
        <v>126938.6195496</v>
      </c>
      <c r="Q16" s="12">
        <f t="shared" si="10"/>
        <v>99296.462009640003</v>
      </c>
      <c r="R16" s="12">
        <f t="shared" si="11"/>
        <v>190524.91844076</v>
      </c>
      <c r="S16" s="21">
        <v>101370.38</v>
      </c>
      <c r="T16" s="16">
        <f t="shared" si="12"/>
        <v>30875.842452294801</v>
      </c>
      <c r="U16" s="16">
        <f t="shared" si="13"/>
        <v>24152.318088522821</v>
      </c>
      <c r="V16" s="16">
        <f t="shared" si="14"/>
        <v>46342.219459182386</v>
      </c>
      <c r="W16" s="2">
        <v>61240</v>
      </c>
      <c r="X16" s="12">
        <f t="shared" si="15"/>
        <v>18652.752330399999</v>
      </c>
      <c r="Y16" s="12">
        <f t="shared" si="16"/>
        <v>14590.92843236</v>
      </c>
      <c r="Z16" s="12">
        <f t="shared" si="17"/>
        <v>27996.319237240001</v>
      </c>
      <c r="AA16" s="21">
        <v>16706.310000000001</v>
      </c>
      <c r="AB16" s="12">
        <f t="shared" si="18"/>
        <v>5088.4824099426005</v>
      </c>
      <c r="AC16" s="12">
        <f t="shared" si="19"/>
        <v>3980.4143301570903</v>
      </c>
      <c r="AD16" s="14">
        <f t="shared" si="20"/>
        <v>7637.4132599003105</v>
      </c>
      <c r="AE16" s="21">
        <v>128290</v>
      </c>
      <c r="AF16" s="12">
        <f t="shared" si="21"/>
        <v>39075.140373399998</v>
      </c>
      <c r="AG16" s="12">
        <f t="shared" si="22"/>
        <v>30566.13665231</v>
      </c>
      <c r="AH16" s="12">
        <f t="shared" si="23"/>
        <v>58648.722974290002</v>
      </c>
      <c r="AI16" s="2"/>
      <c r="AJ16" s="22">
        <v>12295.16</v>
      </c>
      <c r="AK16" s="12">
        <f t="shared" si="24"/>
        <v>3744.9146692136001</v>
      </c>
      <c r="AL16" s="12">
        <f t="shared" si="25"/>
        <v>2929.4219403072402</v>
      </c>
      <c r="AM16" s="12">
        <f t="shared" si="26"/>
        <v>5620.8233904791605</v>
      </c>
      <c r="AN16" s="2">
        <v>0</v>
      </c>
      <c r="AO16" s="2">
        <f t="shared" si="27"/>
        <v>736661.85</v>
      </c>
      <c r="AP16" s="12">
        <f t="shared" si="28"/>
        <v>224375.75178485099</v>
      </c>
      <c r="AQ16" s="12">
        <f t="shared" si="29"/>
        <v>175515.68145329715</v>
      </c>
      <c r="AR16" s="12">
        <f t="shared" si="30"/>
        <v>336770.41676185187</v>
      </c>
      <c r="AS16" s="7">
        <f t="shared" si="31"/>
        <v>-541662.28999999992</v>
      </c>
      <c r="AT16" s="14">
        <f t="shared" si="32"/>
        <v>-164981.91610201338</v>
      </c>
      <c r="AU16" s="14">
        <f t="shared" si="33"/>
        <v>-129055.4491818783</v>
      </c>
      <c r="AV16" s="14">
        <f t="shared" si="34"/>
        <v>-247624.92471610827</v>
      </c>
    </row>
    <row r="17" spans="1:48" x14ac:dyDescent="0.25">
      <c r="A17" s="4" t="s">
        <v>4</v>
      </c>
      <c r="B17" s="2">
        <f>SUM(B5:B16)</f>
        <v>-213566.2</v>
      </c>
      <c r="C17" s="12">
        <f t="shared" si="0"/>
        <v>-65048.945701252007</v>
      </c>
      <c r="D17" s="12">
        <f t="shared" si="1"/>
        <v>-50883.885365301801</v>
      </c>
      <c r="E17" s="12">
        <f t="shared" si="2"/>
        <v>-97633.368933446211</v>
      </c>
      <c r="F17" s="2">
        <f>SUM(F5:F16)</f>
        <v>5914093.8700000001</v>
      </c>
      <c r="G17" s="23">
        <f>F17*0.2697455</f>
        <v>1595300.2080100852</v>
      </c>
      <c r="H17" s="23">
        <f>F17*0.2322587</f>
        <v>1373599.7539241691</v>
      </c>
      <c r="I17" s="23">
        <f>F17*0.4979958</f>
        <v>2945193.9080657461</v>
      </c>
      <c r="J17" s="7">
        <f>SUM(J5:J16)</f>
        <v>5625486.0800000001</v>
      </c>
      <c r="K17" s="15">
        <f t="shared" si="6"/>
        <v>1713435.6399143168</v>
      </c>
      <c r="L17" s="15">
        <f t="shared" si="7"/>
        <v>1340317.8443912051</v>
      </c>
      <c r="M17" s="15">
        <f t="shared" si="8"/>
        <v>2571732.5956944781</v>
      </c>
      <c r="N17" s="6">
        <f t="shared" ref="N17" si="35">J17/F17*100</f>
        <v>95.119999845386289</v>
      </c>
      <c r="O17" s="2">
        <f>SUM(O5:O16)</f>
        <v>3217883.39</v>
      </c>
      <c r="P17" s="12">
        <f t="shared" si="9"/>
        <v>980117.2746861194</v>
      </c>
      <c r="Q17" s="12">
        <f t="shared" si="10"/>
        <v>766686.90802041127</v>
      </c>
      <c r="R17" s="12">
        <f t="shared" si="11"/>
        <v>1471079.2072934695</v>
      </c>
      <c r="S17" s="2">
        <f>SUM(S5:S16)</f>
        <v>898121.85</v>
      </c>
      <c r="T17" s="16">
        <f t="shared" si="12"/>
        <v>273553.95869645098</v>
      </c>
      <c r="U17" s="16">
        <f t="shared" si="13"/>
        <v>213984.84057623715</v>
      </c>
      <c r="V17" s="16">
        <f t="shared" si="14"/>
        <v>410583.05072731187</v>
      </c>
      <c r="W17" s="2">
        <f>SUM(W5:W16)</f>
        <v>734880</v>
      </c>
      <c r="X17" s="12">
        <f t="shared" si="15"/>
        <v>223833.02796480001</v>
      </c>
      <c r="Y17" s="12">
        <f t="shared" si="16"/>
        <v>175091.14118832001</v>
      </c>
      <c r="Z17" s="12">
        <f t="shared" si="17"/>
        <v>335955.83084688004</v>
      </c>
      <c r="AA17" s="2">
        <f>SUM(AA5:AA16)</f>
        <v>200475.72</v>
      </c>
      <c r="AB17" s="12">
        <f t="shared" si="18"/>
        <v>61061.788919311199</v>
      </c>
      <c r="AC17" s="12">
        <f t="shared" si="19"/>
        <v>47764.97196188508</v>
      </c>
      <c r="AD17" s="14">
        <f t="shared" si="20"/>
        <v>91648.95911880373</v>
      </c>
      <c r="AE17" s="2">
        <f>SUM(AE5:AE16)</f>
        <v>823577.32</v>
      </c>
      <c r="AF17" s="12">
        <f t="shared" si="21"/>
        <v>250848.85328044719</v>
      </c>
      <c r="AG17" s="12">
        <f t="shared" si="22"/>
        <v>196223.99958580747</v>
      </c>
      <c r="AH17" s="12">
        <f t="shared" si="23"/>
        <v>376504.46713374532</v>
      </c>
      <c r="AI17" s="2"/>
      <c r="AJ17" s="6">
        <f t="shared" ref="AJ17:AN17" si="36">SUM(AJ5:AJ16)</f>
        <v>112509.73000000001</v>
      </c>
      <c r="AK17" s="12">
        <f t="shared" si="24"/>
        <v>34268.715356795801</v>
      </c>
      <c r="AL17" s="12">
        <f t="shared" si="25"/>
        <v>26806.358889192474</v>
      </c>
      <c r="AM17" s="12">
        <f t="shared" si="26"/>
        <v>51434.655754011736</v>
      </c>
      <c r="AN17" s="2">
        <f t="shared" si="36"/>
        <v>0</v>
      </c>
      <c r="AO17" s="2">
        <f t="shared" si="27"/>
        <v>5987448.0099999998</v>
      </c>
      <c r="AP17" s="12">
        <f t="shared" si="28"/>
        <v>1823683.6189039245</v>
      </c>
      <c r="AQ17" s="12">
        <f t="shared" si="29"/>
        <v>1426558.2202218533</v>
      </c>
      <c r="AR17" s="12">
        <f t="shared" si="30"/>
        <v>2737206.1708742222</v>
      </c>
      <c r="AS17" s="7">
        <f t="shared" si="31"/>
        <v>-575528.12999999966</v>
      </c>
      <c r="AT17" s="14">
        <f t="shared" si="32"/>
        <v>-175296.92469085968</v>
      </c>
      <c r="AU17" s="14">
        <f t="shared" si="33"/>
        <v>-137124.26119595001</v>
      </c>
      <c r="AV17" s="14">
        <f t="shared" si="34"/>
        <v>-263106.94411318999</v>
      </c>
    </row>
    <row r="18" spans="1:48" x14ac:dyDescent="0.25">
      <c r="A18" s="9"/>
      <c r="B18" s="9"/>
      <c r="C18" s="9"/>
      <c r="D18" s="9"/>
      <c r="E18" s="9"/>
    </row>
    <row r="19" spans="1:48" x14ac:dyDescent="0.25">
      <c r="A19" s="9"/>
      <c r="B19" s="9"/>
      <c r="C19" s="9"/>
      <c r="D19" s="9"/>
      <c r="E19" s="9"/>
    </row>
    <row r="20" spans="1:48" x14ac:dyDescent="0.25">
      <c r="A20" s="9"/>
      <c r="B20" s="9"/>
      <c r="C20" s="9"/>
      <c r="D20" s="9"/>
      <c r="E20" s="9"/>
    </row>
    <row r="21" spans="1:48" x14ac:dyDescent="0.25">
      <c r="O21" s="1" t="s">
        <v>5</v>
      </c>
    </row>
    <row r="22" spans="1:48" ht="123.75" customHeight="1" x14ac:dyDescent="0.25">
      <c r="A22" s="2" t="s">
        <v>11</v>
      </c>
      <c r="B22" s="3" t="s">
        <v>12</v>
      </c>
      <c r="C22" s="13" t="s">
        <v>18</v>
      </c>
      <c r="D22" s="13" t="s">
        <v>19</v>
      </c>
      <c r="E22" s="13" t="s">
        <v>20</v>
      </c>
      <c r="F22" s="3" t="s">
        <v>31</v>
      </c>
      <c r="G22" s="13" t="s">
        <v>18</v>
      </c>
      <c r="H22" s="13" t="s">
        <v>19</v>
      </c>
      <c r="I22" s="13" t="s">
        <v>20</v>
      </c>
      <c r="J22" s="3" t="s">
        <v>22</v>
      </c>
      <c r="K22" s="13" t="s">
        <v>18</v>
      </c>
      <c r="L22" s="13" t="s">
        <v>19</v>
      </c>
      <c r="M22" s="13" t="s">
        <v>20</v>
      </c>
      <c r="N22" s="3" t="s">
        <v>2</v>
      </c>
      <c r="O22" s="3" t="s">
        <v>30</v>
      </c>
      <c r="P22" s="13" t="s">
        <v>18</v>
      </c>
      <c r="Q22" s="13" t="s">
        <v>19</v>
      </c>
      <c r="R22" s="13" t="s">
        <v>20</v>
      </c>
      <c r="S22" s="3" t="s">
        <v>32</v>
      </c>
      <c r="T22" s="13" t="s">
        <v>18</v>
      </c>
      <c r="U22" s="13" t="s">
        <v>19</v>
      </c>
      <c r="V22" s="13" t="s">
        <v>20</v>
      </c>
      <c r="W22" s="3" t="s">
        <v>28</v>
      </c>
      <c r="X22" s="13" t="s">
        <v>18</v>
      </c>
      <c r="Y22" s="13" t="s">
        <v>19</v>
      </c>
      <c r="Z22" s="13" t="s">
        <v>20</v>
      </c>
      <c r="AA22" s="3" t="s">
        <v>33</v>
      </c>
      <c r="AB22" s="13" t="s">
        <v>18</v>
      </c>
      <c r="AC22" s="13" t="s">
        <v>19</v>
      </c>
      <c r="AD22" s="13" t="s">
        <v>20</v>
      </c>
      <c r="AE22" s="3" t="s">
        <v>34</v>
      </c>
      <c r="AF22" s="13" t="s">
        <v>18</v>
      </c>
      <c r="AG22" s="13" t="s">
        <v>19</v>
      </c>
      <c r="AH22" s="13" t="s">
        <v>20</v>
      </c>
      <c r="AI22" s="3" t="s">
        <v>13</v>
      </c>
      <c r="AJ22" s="13" t="s">
        <v>18</v>
      </c>
      <c r="AK22" s="13" t="s">
        <v>19</v>
      </c>
      <c r="AL22" s="13" t="s">
        <v>20</v>
      </c>
      <c r="AM22" s="3" t="s">
        <v>7</v>
      </c>
      <c r="AN22" s="13" t="s">
        <v>18</v>
      </c>
      <c r="AO22" s="13" t="s">
        <v>19</v>
      </c>
      <c r="AP22" s="13" t="s">
        <v>20</v>
      </c>
      <c r="AQ22" s="3" t="s">
        <v>6</v>
      </c>
      <c r="AR22" s="13" t="s">
        <v>18</v>
      </c>
      <c r="AS22" s="13" t="s">
        <v>19</v>
      </c>
      <c r="AT22" s="13" t="s">
        <v>20</v>
      </c>
    </row>
    <row r="23" spans="1:48" x14ac:dyDescent="0.25">
      <c r="A23" s="4">
        <v>41275</v>
      </c>
      <c r="B23" s="24">
        <v>-469.53</v>
      </c>
      <c r="C23" s="16">
        <f>B23*0.3153627</f>
        <v>-148.07224853099999</v>
      </c>
      <c r="D23" s="16">
        <f>B23*0.2505416</f>
        <v>-117.63679744799998</v>
      </c>
      <c r="E23" s="16">
        <f>B23*0.4340958</f>
        <v>-203.82100097399999</v>
      </c>
      <c r="F23" s="19">
        <v>22410.75</v>
      </c>
      <c r="G23" s="18">
        <f>F23*0.2736452</f>
        <v>6132.5941658999991</v>
      </c>
      <c r="H23" s="18">
        <f>F23*0.2542905</f>
        <v>5698.8408228749995</v>
      </c>
      <c r="I23" s="18">
        <f>F23*0.4720643</f>
        <v>10579.315011225</v>
      </c>
      <c r="J23" s="5">
        <f>F23*95.12%</f>
        <v>21317.1054</v>
      </c>
      <c r="K23" s="18">
        <f>J23*0.3153627</f>
        <v>6722.61991512858</v>
      </c>
      <c r="L23" s="18">
        <f>J23*0.2505416</f>
        <v>5340.8216942846393</v>
      </c>
      <c r="M23" s="18">
        <f>J23*0.43409579</f>
        <v>9253.6657091262659</v>
      </c>
      <c r="N23" s="6"/>
      <c r="O23" s="21">
        <v>7000</v>
      </c>
      <c r="P23" s="14">
        <f>O23*0.3153627</f>
        <v>2207.5389</v>
      </c>
      <c r="Q23" s="14">
        <f>O23*0.2505416</f>
        <v>1753.7911999999999</v>
      </c>
      <c r="R23" s="14">
        <f>O23*0.43409579</f>
        <v>3038.6705299999999</v>
      </c>
      <c r="S23" s="21">
        <v>4463</v>
      </c>
      <c r="T23" s="12">
        <f>S23*0.3153627</f>
        <v>1407.4637301</v>
      </c>
      <c r="U23" s="12">
        <f>S23*0.2505416</f>
        <v>1118.1671607999999</v>
      </c>
      <c r="V23" s="12">
        <f>S23*0.43409579</f>
        <v>1937.3695107699998</v>
      </c>
      <c r="W23" s="6">
        <f>J23*2%</f>
        <v>426.342108</v>
      </c>
      <c r="X23" s="12">
        <f>W23*0.3153627</f>
        <v>134.45239830257159</v>
      </c>
      <c r="Y23" s="12">
        <f>W23*0.2505416</f>
        <v>106.81643388569279</v>
      </c>
      <c r="Z23" s="12">
        <f>W23*0.43409579</f>
        <v>185.07331418252531</v>
      </c>
      <c r="AA23" s="21">
        <v>7467.5</v>
      </c>
      <c r="AB23" s="14">
        <f>AA23*0.3153627</f>
        <v>2354.97096225</v>
      </c>
      <c r="AC23" s="14">
        <f>AA23*0.2505416</f>
        <v>1870.9193979999998</v>
      </c>
      <c r="AD23" s="12">
        <f>AA23*0.43409579</f>
        <v>3241.6103118249998</v>
      </c>
      <c r="AE23" s="2"/>
      <c r="AF23" s="17">
        <v>0</v>
      </c>
      <c r="AG23" s="17">
        <v>0</v>
      </c>
      <c r="AH23" s="17">
        <v>0</v>
      </c>
      <c r="AI23" s="2">
        <v>0</v>
      </c>
      <c r="AJ23" s="2"/>
      <c r="AK23" s="2"/>
      <c r="AL23" s="2"/>
      <c r="AM23" s="6">
        <f>O23+S23+W23+AA23+AE23+AI23</f>
        <v>19356.842108000001</v>
      </c>
      <c r="AN23" s="12">
        <f>AM23*0.3153627</f>
        <v>6104.4259906525722</v>
      </c>
      <c r="AO23" s="12">
        <f>AM23*0.2505416</f>
        <v>4849.6941926856925</v>
      </c>
      <c r="AP23" s="12">
        <f>AM23*0.43409579</f>
        <v>8402.7236667775251</v>
      </c>
      <c r="AQ23" s="7">
        <f>J23-AM23+B23</f>
        <v>1490.7332919999997</v>
      </c>
      <c r="AR23" s="12">
        <f>AQ23*0.3153627</f>
        <v>470.12167594500829</v>
      </c>
      <c r="AS23" s="12">
        <f>AQ23*0.2505416</f>
        <v>373.49070415094707</v>
      </c>
      <c r="AT23" s="12">
        <f>AQ23*0.43409579</f>
        <v>647.12104607004051</v>
      </c>
    </row>
    <row r="24" spans="1:48" x14ac:dyDescent="0.25">
      <c r="A24" s="4">
        <v>41306</v>
      </c>
      <c r="B24" s="24">
        <v>-3265.57</v>
      </c>
      <c r="C24" s="16">
        <f t="shared" ref="C24:C35" si="37">B24*0.3153627</f>
        <v>-1029.838972239</v>
      </c>
      <c r="D24" s="16">
        <f t="shared" ref="D24:D35" si="38">B24*0.2505416</f>
        <v>-818.16113271199993</v>
      </c>
      <c r="E24" s="16">
        <f t="shared" ref="E24:E35" si="39">B24*0.4340958</f>
        <v>-1417.5702216059999</v>
      </c>
      <c r="F24" s="19">
        <v>25474.959999999999</v>
      </c>
      <c r="G24" s="18">
        <f t="shared" ref="G24:G34" si="40">F24*0.2736452</f>
        <v>6971.1005241919993</v>
      </c>
      <c r="H24" s="18">
        <f t="shared" ref="H24:H34" si="41">F24*0.2542905</f>
        <v>6478.0403158799991</v>
      </c>
      <c r="I24" s="18">
        <f t="shared" ref="I24:I34" si="42">F24*0.4720643</f>
        <v>12025.819159928</v>
      </c>
      <c r="J24" s="5">
        <f t="shared" ref="J24:J34" si="43">F24*95.12%</f>
        <v>24231.781952000001</v>
      </c>
      <c r="K24" s="18">
        <f t="shared" ref="K24:K35" si="44">J24*0.3153627</f>
        <v>7641.8001821939906</v>
      </c>
      <c r="L24" s="18">
        <f t="shared" ref="L24:L35" si="45">J24*0.2505416</f>
        <v>6071.0694211052032</v>
      </c>
      <c r="M24" s="18">
        <f t="shared" ref="M24:M35" si="46">J24*0.43409579</f>
        <v>10518.914529561182</v>
      </c>
      <c r="N24" s="6"/>
      <c r="O24" s="21">
        <v>0</v>
      </c>
      <c r="P24" s="14">
        <f t="shared" ref="P24:P35" si="47">O24*0.3153627</f>
        <v>0</v>
      </c>
      <c r="Q24" s="14">
        <f t="shared" ref="Q24:Q35" si="48">O24*0.2505416</f>
        <v>0</v>
      </c>
      <c r="R24" s="14">
        <f t="shared" ref="R24:R35" si="49">O24*0.43409579</f>
        <v>0</v>
      </c>
      <c r="S24" s="21">
        <v>75207.92</v>
      </c>
      <c r="T24" s="12">
        <f t="shared" ref="T24:T35" si="50">S24*0.3153627</f>
        <v>23717.772712583999</v>
      </c>
      <c r="U24" s="12">
        <f t="shared" ref="U24:U35" si="51">S24*0.2505416</f>
        <v>18842.712609471997</v>
      </c>
      <c r="V24" s="12">
        <f t="shared" ref="V24:V35" si="52">S24*0.43409579</f>
        <v>32647.441446656798</v>
      </c>
      <c r="W24" s="6">
        <f t="shared" ref="W24:W34" si="53">J24*2%</f>
        <v>484.63563904000006</v>
      </c>
      <c r="X24" s="12">
        <f t="shared" ref="X24:X35" si="54">W24*0.3153627</f>
        <v>152.83600364387982</v>
      </c>
      <c r="Y24" s="12">
        <f t="shared" ref="Y24:Y35" si="55">W24*0.2505416</f>
        <v>121.42138842210407</v>
      </c>
      <c r="Z24" s="12">
        <f t="shared" ref="Z24:Z35" si="56">W24*0.43409579</f>
        <v>210.37829059122365</v>
      </c>
      <c r="AA24" s="21">
        <v>2615.17</v>
      </c>
      <c r="AB24" s="14">
        <f t="shared" ref="AB24:AB35" si="57">AA24*0.3153627</f>
        <v>824.72707215900004</v>
      </c>
      <c r="AC24" s="14">
        <f t="shared" ref="AC24:AC35" si="58">AA24*0.2505416</f>
        <v>655.20887607199995</v>
      </c>
      <c r="AD24" s="12">
        <f t="shared" ref="AD24:AD35" si="59">AA24*0.43409579</f>
        <v>1135.2342871343001</v>
      </c>
      <c r="AE24" s="2"/>
      <c r="AF24" s="12">
        <f>AE24*0.3153627</f>
        <v>0</v>
      </c>
      <c r="AG24" s="12">
        <f>AE24*0.2505416</f>
        <v>0</v>
      </c>
      <c r="AH24" s="12">
        <f>AE24*0.43409579</f>
        <v>0</v>
      </c>
      <c r="AI24" s="2">
        <v>0</v>
      </c>
      <c r="AJ24" s="2"/>
      <c r="AK24" s="2"/>
      <c r="AL24" s="2"/>
      <c r="AM24" s="6">
        <f t="shared" ref="AM24:AM35" si="60">O24+S24+W24+AA24+AE24+AI24</f>
        <v>78307.72563904</v>
      </c>
      <c r="AN24" s="12">
        <f t="shared" ref="AN24:AN35" si="61">AM24*0.3153627</f>
        <v>24695.335788386881</v>
      </c>
      <c r="AO24" s="12">
        <f t="shared" ref="AO24:AO35" si="62">AM24*0.2505416</f>
        <v>19619.342873966103</v>
      </c>
      <c r="AP24" s="12">
        <f t="shared" ref="AP24:AP35" si="63">AM24*0.43409579</f>
        <v>33993.05402438232</v>
      </c>
      <c r="AQ24" s="7">
        <f>J24-AM24+B24</f>
        <v>-57341.513687039995</v>
      </c>
      <c r="AR24" s="12">
        <f t="shared" ref="AR24:AR35" si="64">AQ24*0.3153627</f>
        <v>-18083.374578431889</v>
      </c>
      <c r="AS24" s="12">
        <f t="shared" ref="AS24:AS35" si="65">AQ24*0.2505416</f>
        <v>-14366.434585572899</v>
      </c>
      <c r="AT24" s="12">
        <f t="shared" ref="AT24:AT35" si="66">AQ24*0.43409579</f>
        <v>-24891.709683771438</v>
      </c>
    </row>
    <row r="25" spans="1:48" x14ac:dyDescent="0.25">
      <c r="A25" s="4">
        <v>41334</v>
      </c>
      <c r="B25" s="24">
        <v>-12193.72</v>
      </c>
      <c r="C25" s="16">
        <f t="shared" si="37"/>
        <v>-3845.4444622439996</v>
      </c>
      <c r="D25" s="16">
        <f t="shared" si="38"/>
        <v>-3055.0341187519994</v>
      </c>
      <c r="E25" s="16">
        <f t="shared" si="39"/>
        <v>-5293.2426383759994</v>
      </c>
      <c r="F25" s="19">
        <v>27107.89</v>
      </c>
      <c r="G25" s="18">
        <f t="shared" si="40"/>
        <v>7417.9439806279988</v>
      </c>
      <c r="H25" s="18">
        <f t="shared" si="41"/>
        <v>6893.2789020449991</v>
      </c>
      <c r="I25" s="18">
        <f t="shared" si="42"/>
        <v>12796.667117326999</v>
      </c>
      <c r="J25" s="5">
        <f t="shared" si="43"/>
        <v>25785.024968000002</v>
      </c>
      <c r="K25" s="18">
        <f t="shared" si="44"/>
        <v>8131.6350934758939</v>
      </c>
      <c r="L25" s="18">
        <f t="shared" si="45"/>
        <v>6460.2214115226689</v>
      </c>
      <c r="M25" s="18">
        <f t="shared" si="46"/>
        <v>11193.170783653684</v>
      </c>
      <c r="N25" s="6"/>
      <c r="O25" s="21">
        <v>7000</v>
      </c>
      <c r="P25" s="14">
        <f t="shared" si="47"/>
        <v>2207.5389</v>
      </c>
      <c r="Q25" s="14">
        <f t="shared" si="48"/>
        <v>1753.7911999999999</v>
      </c>
      <c r="R25" s="14">
        <f t="shared" si="49"/>
        <v>3038.6705299999999</v>
      </c>
      <c r="S25" s="21">
        <v>46197.440000000002</v>
      </c>
      <c r="T25" s="12">
        <f t="shared" si="50"/>
        <v>14568.949411488</v>
      </c>
      <c r="U25" s="12">
        <f t="shared" si="51"/>
        <v>11574.380533504</v>
      </c>
      <c r="V25" s="12">
        <f t="shared" si="52"/>
        <v>20054.1142127776</v>
      </c>
      <c r="W25" s="6">
        <f t="shared" si="53"/>
        <v>515.70049936000009</v>
      </c>
      <c r="X25" s="12">
        <f t="shared" si="54"/>
        <v>162.63270186951789</v>
      </c>
      <c r="Y25" s="12">
        <f t="shared" si="55"/>
        <v>129.20442823045337</v>
      </c>
      <c r="Z25" s="12">
        <f t="shared" si="56"/>
        <v>223.86341567307372</v>
      </c>
      <c r="AA25" s="21">
        <v>5730</v>
      </c>
      <c r="AB25" s="14">
        <f t="shared" si="57"/>
        <v>1807.0282709999999</v>
      </c>
      <c r="AC25" s="14">
        <f t="shared" si="58"/>
        <v>1435.6033679999998</v>
      </c>
      <c r="AD25" s="12">
        <f t="shared" si="59"/>
        <v>2487.3688766999999</v>
      </c>
      <c r="AE25" s="2"/>
      <c r="AF25" s="14">
        <f t="shared" ref="AF25:AF35" si="67">AE25*0.3153627</f>
        <v>0</v>
      </c>
      <c r="AG25" s="14">
        <f t="shared" ref="AG25:AG35" si="68">AE25*0.2505416</f>
        <v>0</v>
      </c>
      <c r="AH25" s="14">
        <f t="shared" ref="AH25:AH35" si="69">AE25*0.43409579</f>
        <v>0</v>
      </c>
      <c r="AI25" s="2">
        <v>0</v>
      </c>
      <c r="AJ25" s="2"/>
      <c r="AK25" s="2"/>
      <c r="AL25" s="2"/>
      <c r="AM25" s="6">
        <f t="shared" si="60"/>
        <v>59443.140499360001</v>
      </c>
      <c r="AN25" s="12">
        <f t="shared" si="61"/>
        <v>18746.149284357518</v>
      </c>
      <c r="AO25" s="12">
        <f t="shared" si="62"/>
        <v>14892.979529734452</v>
      </c>
      <c r="AP25" s="12">
        <f t="shared" si="63"/>
        <v>25804.017035150671</v>
      </c>
      <c r="AQ25" s="7">
        <f>J25-AM25+B25</f>
        <v>-45851.835531360004</v>
      </c>
      <c r="AR25" s="12">
        <f t="shared" si="64"/>
        <v>-14459.958653125625</v>
      </c>
      <c r="AS25" s="12">
        <f t="shared" si="65"/>
        <v>-11487.792236963784</v>
      </c>
      <c r="AT25" s="12">
        <f t="shared" si="66"/>
        <v>-19904.088767935791</v>
      </c>
    </row>
    <row r="26" spans="1:48" x14ac:dyDescent="0.25">
      <c r="A26" s="4">
        <v>41365</v>
      </c>
      <c r="B26" s="10">
        <v>-6072.43</v>
      </c>
      <c r="C26" s="16">
        <f t="shared" si="37"/>
        <v>-1915.0179203610001</v>
      </c>
      <c r="D26" s="16">
        <f t="shared" si="38"/>
        <v>-1521.396328088</v>
      </c>
      <c r="E26" s="16">
        <f t="shared" si="39"/>
        <v>-2636.0163587940001</v>
      </c>
      <c r="F26" s="19">
        <v>28110.880000000001</v>
      </c>
      <c r="G26" s="18">
        <f t="shared" si="40"/>
        <v>7692.4073797759993</v>
      </c>
      <c r="H26" s="18">
        <f t="shared" si="41"/>
        <v>7148.32973064</v>
      </c>
      <c r="I26" s="18">
        <f t="shared" si="42"/>
        <v>13270.142889584</v>
      </c>
      <c r="J26" s="5">
        <f t="shared" si="43"/>
        <v>26739.069056000004</v>
      </c>
      <c r="K26" s="18">
        <f t="shared" si="44"/>
        <v>8432.5050129866122</v>
      </c>
      <c r="L26" s="18">
        <f t="shared" si="45"/>
        <v>6699.2491438007301</v>
      </c>
      <c r="M26" s="18">
        <f t="shared" si="46"/>
        <v>11607.317305728875</v>
      </c>
      <c r="N26" s="6"/>
      <c r="O26" s="21">
        <v>7000</v>
      </c>
      <c r="P26" s="14">
        <f t="shared" si="47"/>
        <v>2207.5389</v>
      </c>
      <c r="Q26" s="14">
        <f t="shared" si="48"/>
        <v>1753.7911999999999</v>
      </c>
      <c r="R26" s="14">
        <f t="shared" si="49"/>
        <v>3038.6705299999999</v>
      </c>
      <c r="S26" s="21">
        <v>9420</v>
      </c>
      <c r="T26" s="12">
        <f t="shared" si="50"/>
        <v>2970.7166339999999</v>
      </c>
      <c r="U26" s="12">
        <f t="shared" si="51"/>
        <v>2360.1018719999997</v>
      </c>
      <c r="V26" s="12">
        <f t="shared" si="52"/>
        <v>4089.1823417999999</v>
      </c>
      <c r="W26" s="6">
        <f t="shared" si="53"/>
        <v>534.78138112000011</v>
      </c>
      <c r="X26" s="12">
        <f t="shared" si="54"/>
        <v>168.65010025973226</v>
      </c>
      <c r="Y26" s="12">
        <f t="shared" si="55"/>
        <v>133.98498287601461</v>
      </c>
      <c r="Z26" s="12">
        <f t="shared" si="56"/>
        <v>232.14634611457751</v>
      </c>
      <c r="AA26" s="21">
        <v>12957.74</v>
      </c>
      <c r="AB26" s="14">
        <f t="shared" si="57"/>
        <v>4086.3878722979998</v>
      </c>
      <c r="AC26" s="14">
        <f t="shared" si="58"/>
        <v>3246.4529119839995</v>
      </c>
      <c r="AD26" s="12">
        <f t="shared" si="59"/>
        <v>5624.9003819146001</v>
      </c>
      <c r="AE26" s="2"/>
      <c r="AF26" s="14">
        <f t="shared" si="67"/>
        <v>0</v>
      </c>
      <c r="AG26" s="14">
        <f t="shared" si="68"/>
        <v>0</v>
      </c>
      <c r="AH26" s="14">
        <f t="shared" si="69"/>
        <v>0</v>
      </c>
      <c r="AI26" s="2">
        <v>0</v>
      </c>
      <c r="AJ26" s="2"/>
      <c r="AK26" s="2"/>
      <c r="AL26" s="2"/>
      <c r="AM26" s="6">
        <f t="shared" si="60"/>
        <v>29912.521381120001</v>
      </c>
      <c r="AN26" s="12">
        <f t="shared" si="61"/>
        <v>9433.2935065577331</v>
      </c>
      <c r="AO26" s="12">
        <f t="shared" si="62"/>
        <v>7494.3309668600141</v>
      </c>
      <c r="AP26" s="12">
        <f t="shared" si="63"/>
        <v>12984.899599829178</v>
      </c>
      <c r="AQ26" s="7">
        <f>J26-AM26+B26</f>
        <v>-9245.8823251199974</v>
      </c>
      <c r="AR26" s="12">
        <f t="shared" si="64"/>
        <v>-2915.80641393212</v>
      </c>
      <c r="AS26" s="12">
        <f t="shared" si="65"/>
        <v>-2316.4781511472843</v>
      </c>
      <c r="AT26" s="12">
        <f t="shared" si="66"/>
        <v>-4013.5985921700021</v>
      </c>
    </row>
    <row r="27" spans="1:48" x14ac:dyDescent="0.25">
      <c r="A27" s="4">
        <v>41395</v>
      </c>
      <c r="B27" s="10">
        <v>-1807.31</v>
      </c>
      <c r="C27" s="16">
        <f t="shared" si="37"/>
        <v>-569.95816133699998</v>
      </c>
      <c r="D27" s="16">
        <f t="shared" si="38"/>
        <v>-452.80633909599993</v>
      </c>
      <c r="E27" s="16">
        <f t="shared" si="39"/>
        <v>-784.54568029799998</v>
      </c>
      <c r="F27" s="19">
        <v>27733.99</v>
      </c>
      <c r="G27" s="18">
        <f t="shared" si="40"/>
        <v>7589.2732403479995</v>
      </c>
      <c r="H27" s="18">
        <f t="shared" si="41"/>
        <v>7052.4901840949997</v>
      </c>
      <c r="I27" s="18">
        <f t="shared" si="42"/>
        <v>13092.226575557001</v>
      </c>
      <c r="J27" s="5">
        <f t="shared" si="43"/>
        <v>26380.571288000003</v>
      </c>
      <c r="K27" s="18">
        <f t="shared" si="44"/>
        <v>8319.4481889261588</v>
      </c>
      <c r="L27" s="18">
        <f t="shared" si="45"/>
        <v>6609.4305394095809</v>
      </c>
      <c r="M27" s="18">
        <f t="shared" si="46"/>
        <v>11451.694933915678</v>
      </c>
      <c r="N27" s="6"/>
      <c r="O27" s="21">
        <v>3000</v>
      </c>
      <c r="P27" s="14">
        <f t="shared" si="47"/>
        <v>946.08809999999994</v>
      </c>
      <c r="Q27" s="14">
        <f t="shared" si="48"/>
        <v>751.62479999999994</v>
      </c>
      <c r="R27" s="14">
        <f t="shared" si="49"/>
        <v>1302.28737</v>
      </c>
      <c r="S27" s="21">
        <v>21108.41</v>
      </c>
      <c r="T27" s="12">
        <f t="shared" si="50"/>
        <v>6656.8051703069996</v>
      </c>
      <c r="U27" s="12">
        <f t="shared" si="51"/>
        <v>5288.5348148559997</v>
      </c>
      <c r="V27" s="12">
        <f t="shared" si="52"/>
        <v>9163.0719145939001</v>
      </c>
      <c r="W27" s="6">
        <f t="shared" si="53"/>
        <v>527.61142576000009</v>
      </c>
      <c r="X27" s="12">
        <f t="shared" si="54"/>
        <v>166.38896377852319</v>
      </c>
      <c r="Y27" s="12">
        <f t="shared" si="55"/>
        <v>132.18861078819162</v>
      </c>
      <c r="Z27" s="12">
        <f t="shared" si="56"/>
        <v>229.03389867831359</v>
      </c>
      <c r="AA27" s="21">
        <v>8439.75</v>
      </c>
      <c r="AB27" s="14">
        <f t="shared" si="57"/>
        <v>2661.5823473249998</v>
      </c>
      <c r="AC27" s="14">
        <f t="shared" si="58"/>
        <v>2114.5084686</v>
      </c>
      <c r="AD27" s="12">
        <f t="shared" si="59"/>
        <v>3663.6599436524998</v>
      </c>
      <c r="AE27" s="2"/>
      <c r="AF27" s="14">
        <f t="shared" si="67"/>
        <v>0</v>
      </c>
      <c r="AG27" s="14">
        <f t="shared" si="68"/>
        <v>0</v>
      </c>
      <c r="AH27" s="14">
        <f t="shared" si="69"/>
        <v>0</v>
      </c>
      <c r="AI27" s="2">
        <v>0</v>
      </c>
      <c r="AJ27" s="2"/>
      <c r="AK27" s="2"/>
      <c r="AL27" s="2"/>
      <c r="AM27" s="6">
        <f t="shared" si="60"/>
        <v>33075.771425760002</v>
      </c>
      <c r="AN27" s="12">
        <f t="shared" si="61"/>
        <v>10430.864581410524</v>
      </c>
      <c r="AO27" s="12">
        <f t="shared" si="62"/>
        <v>8286.8566942441921</v>
      </c>
      <c r="AP27" s="12">
        <f t="shared" si="63"/>
        <v>14358.053126924713</v>
      </c>
      <c r="AQ27" s="7">
        <f>J27-AM27+B27</f>
        <v>-8502.5101377599985</v>
      </c>
      <c r="AR27" s="12">
        <f t="shared" si="64"/>
        <v>-2681.3745538213652</v>
      </c>
      <c r="AS27" s="12">
        <f t="shared" si="65"/>
        <v>-2130.2324939306104</v>
      </c>
      <c r="AT27" s="12">
        <f t="shared" si="66"/>
        <v>-3690.9038552339352</v>
      </c>
    </row>
    <row r="28" spans="1:48" x14ac:dyDescent="0.25">
      <c r="A28" s="4">
        <v>41426</v>
      </c>
      <c r="B28" s="10">
        <v>-8512.66</v>
      </c>
      <c r="C28" s="16">
        <f t="shared" si="37"/>
        <v>-2684.5754417819999</v>
      </c>
      <c r="D28" s="16">
        <f t="shared" si="38"/>
        <v>-2132.7754566559997</v>
      </c>
      <c r="E28" s="16">
        <f t="shared" si="39"/>
        <v>-3695.309952828</v>
      </c>
      <c r="F28" s="19">
        <v>28523.25</v>
      </c>
      <c r="G28" s="18">
        <f t="shared" si="40"/>
        <v>7805.2504508999991</v>
      </c>
      <c r="H28" s="18">
        <f t="shared" si="41"/>
        <v>7253.1915041249995</v>
      </c>
      <c r="I28" s="18">
        <f t="shared" si="42"/>
        <v>13464.808044975</v>
      </c>
      <c r="J28" s="5">
        <f t="shared" si="43"/>
        <v>27131.315399999999</v>
      </c>
      <c r="K28" s="18">
        <f t="shared" si="44"/>
        <v>8556.2048790955796</v>
      </c>
      <c r="L28" s="18">
        <f t="shared" si="45"/>
        <v>6797.523170420639</v>
      </c>
      <c r="M28" s="18">
        <f t="shared" si="46"/>
        <v>11777.589792302166</v>
      </c>
      <c r="N28" s="6"/>
      <c r="O28" s="21">
        <v>3000</v>
      </c>
      <c r="P28" s="14">
        <f t="shared" si="47"/>
        <v>946.08809999999994</v>
      </c>
      <c r="Q28" s="14">
        <f t="shared" si="48"/>
        <v>751.62479999999994</v>
      </c>
      <c r="R28" s="14">
        <f t="shared" si="49"/>
        <v>1302.28737</v>
      </c>
      <c r="S28" s="21">
        <v>11016.48</v>
      </c>
      <c r="T28" s="12">
        <f t="shared" si="50"/>
        <v>3474.1868772959997</v>
      </c>
      <c r="U28" s="12">
        <f t="shared" si="51"/>
        <v>2760.0865255679996</v>
      </c>
      <c r="V28" s="12">
        <f t="shared" si="52"/>
        <v>4782.2075886191997</v>
      </c>
      <c r="W28" s="6">
        <f t="shared" si="53"/>
        <v>542.62630799999999</v>
      </c>
      <c r="X28" s="12">
        <f t="shared" si="54"/>
        <v>171.1240975819116</v>
      </c>
      <c r="Y28" s="12">
        <f t="shared" si="55"/>
        <v>135.95046340841279</v>
      </c>
      <c r="Z28" s="12">
        <f t="shared" si="56"/>
        <v>235.55179584604332</v>
      </c>
      <c r="AA28" s="21">
        <v>10342.93</v>
      </c>
      <c r="AB28" s="14">
        <f t="shared" si="57"/>
        <v>3261.7743307109999</v>
      </c>
      <c r="AC28" s="14">
        <f t="shared" si="58"/>
        <v>2591.3342308879996</v>
      </c>
      <c r="AD28" s="12">
        <f t="shared" si="59"/>
        <v>4489.8223692646998</v>
      </c>
      <c r="AE28" s="2"/>
      <c r="AF28" s="14">
        <f t="shared" si="67"/>
        <v>0</v>
      </c>
      <c r="AG28" s="14">
        <f t="shared" si="68"/>
        <v>0</v>
      </c>
      <c r="AH28" s="14">
        <f t="shared" si="69"/>
        <v>0</v>
      </c>
      <c r="AI28" s="2">
        <v>0</v>
      </c>
      <c r="AJ28" s="2"/>
      <c r="AK28" s="2"/>
      <c r="AL28" s="2"/>
      <c r="AM28" s="6">
        <f t="shared" si="60"/>
        <v>24902.036308000002</v>
      </c>
      <c r="AN28" s="12">
        <f t="shared" si="61"/>
        <v>7853.1734055889119</v>
      </c>
      <c r="AO28" s="12">
        <f t="shared" si="62"/>
        <v>6238.996019864413</v>
      </c>
      <c r="AP28" s="12">
        <f t="shared" si="63"/>
        <v>10809.869123729944</v>
      </c>
      <c r="AQ28" s="7">
        <f>J28-AM28+B28</f>
        <v>-6283.3809080000028</v>
      </c>
      <c r="AR28" s="12">
        <f t="shared" si="64"/>
        <v>-1981.5439682753324</v>
      </c>
      <c r="AS28" s="12">
        <f t="shared" si="65"/>
        <v>-1574.2483060997733</v>
      </c>
      <c r="AT28" s="12">
        <f t="shared" si="66"/>
        <v>-2727.5891991291783</v>
      </c>
    </row>
    <row r="29" spans="1:48" x14ac:dyDescent="0.25">
      <c r="A29" s="4">
        <v>41456</v>
      </c>
      <c r="B29" s="10">
        <v>-1495.5</v>
      </c>
      <c r="C29" s="16">
        <f t="shared" si="37"/>
        <v>-471.62491784999997</v>
      </c>
      <c r="D29" s="16">
        <f t="shared" si="38"/>
        <v>-374.68496279999994</v>
      </c>
      <c r="E29" s="16">
        <f t="shared" si="39"/>
        <v>-649.19026889999998</v>
      </c>
      <c r="F29" s="19">
        <v>28857.54</v>
      </c>
      <c r="G29" s="18">
        <f t="shared" si="40"/>
        <v>7896.7273048079996</v>
      </c>
      <c r="H29" s="18">
        <f t="shared" si="41"/>
        <v>7338.1982753699995</v>
      </c>
      <c r="I29" s="18">
        <f t="shared" si="42"/>
        <v>13622.614419822001</v>
      </c>
      <c r="J29" s="5">
        <f t="shared" si="43"/>
        <v>27449.292048000003</v>
      </c>
      <c r="K29" s="18">
        <f t="shared" si="44"/>
        <v>8656.4828533458112</v>
      </c>
      <c r="L29" s="18">
        <f t="shared" si="45"/>
        <v>6877.1895485731966</v>
      </c>
      <c r="M29" s="18">
        <f t="shared" si="46"/>
        <v>11915.622116517279</v>
      </c>
      <c r="N29" s="6"/>
      <c r="O29" s="21">
        <v>3000</v>
      </c>
      <c r="P29" s="14">
        <f t="shared" si="47"/>
        <v>946.08809999999994</v>
      </c>
      <c r="Q29" s="14">
        <f t="shared" si="48"/>
        <v>751.62479999999994</v>
      </c>
      <c r="R29" s="14">
        <f t="shared" si="49"/>
        <v>1302.28737</v>
      </c>
      <c r="S29" s="21">
        <v>10118.049999999999</v>
      </c>
      <c r="T29" s="12">
        <f t="shared" si="50"/>
        <v>3190.8555667349997</v>
      </c>
      <c r="U29" s="12">
        <f t="shared" si="51"/>
        <v>2534.9924358799994</v>
      </c>
      <c r="V29" s="12">
        <f t="shared" si="52"/>
        <v>4392.2029080094999</v>
      </c>
      <c r="W29" s="6">
        <f t="shared" si="53"/>
        <v>548.98584096000002</v>
      </c>
      <c r="X29" s="12">
        <f t="shared" si="54"/>
        <v>173.1296570669162</v>
      </c>
      <c r="Y29" s="12">
        <f t="shared" si="55"/>
        <v>137.54379097146392</v>
      </c>
      <c r="Z29" s="12">
        <f t="shared" si="56"/>
        <v>238.31244233034556</v>
      </c>
      <c r="AA29" s="21">
        <v>0</v>
      </c>
      <c r="AB29" s="14">
        <f t="shared" si="57"/>
        <v>0</v>
      </c>
      <c r="AC29" s="14">
        <f t="shared" si="58"/>
        <v>0</v>
      </c>
      <c r="AD29" s="12">
        <f t="shared" si="59"/>
        <v>0</v>
      </c>
      <c r="AE29" s="2">
        <v>0</v>
      </c>
      <c r="AF29" s="14">
        <f t="shared" si="67"/>
        <v>0</v>
      </c>
      <c r="AG29" s="14">
        <f t="shared" si="68"/>
        <v>0</v>
      </c>
      <c r="AH29" s="14">
        <f t="shared" si="69"/>
        <v>0</v>
      </c>
      <c r="AI29" s="2">
        <v>0</v>
      </c>
      <c r="AJ29" s="2"/>
      <c r="AK29" s="2"/>
      <c r="AL29" s="2"/>
      <c r="AM29" s="6">
        <f t="shared" si="60"/>
        <v>13667.035840959999</v>
      </c>
      <c r="AN29" s="12">
        <f t="shared" si="61"/>
        <v>4310.0733238019156</v>
      </c>
      <c r="AO29" s="12">
        <f t="shared" si="62"/>
        <v>3424.1610268514632</v>
      </c>
      <c r="AP29" s="12">
        <f t="shared" si="63"/>
        <v>5932.8027203398451</v>
      </c>
      <c r="AQ29" s="7">
        <f>J29-AM29+B29</f>
        <v>12286.756207040004</v>
      </c>
      <c r="AR29" s="12">
        <f t="shared" si="64"/>
        <v>3874.7846116938945</v>
      </c>
      <c r="AS29" s="12">
        <f t="shared" si="65"/>
        <v>3078.3435589217333</v>
      </c>
      <c r="AT29" s="12">
        <f t="shared" si="66"/>
        <v>5333.6291422324339</v>
      </c>
    </row>
    <row r="30" spans="1:48" x14ac:dyDescent="0.25">
      <c r="A30" s="4">
        <v>41487</v>
      </c>
      <c r="B30" s="10">
        <v>-27057.23</v>
      </c>
      <c r="C30" s="16">
        <f t="shared" si="37"/>
        <v>-8532.8411073209991</v>
      </c>
      <c r="D30" s="16">
        <f t="shared" si="38"/>
        <v>-6778.9616957679991</v>
      </c>
      <c r="E30" s="16">
        <f t="shared" si="39"/>
        <v>-11745.429902634</v>
      </c>
      <c r="F30" s="19">
        <v>29008.799999999999</v>
      </c>
      <c r="G30" s="18">
        <f t="shared" si="40"/>
        <v>7938.1188777599991</v>
      </c>
      <c r="H30" s="18">
        <f t="shared" si="41"/>
        <v>7376.662256399999</v>
      </c>
      <c r="I30" s="18">
        <f t="shared" si="42"/>
        <v>13694.01886584</v>
      </c>
      <c r="J30" s="5">
        <f t="shared" si="43"/>
        <v>27593.170560000002</v>
      </c>
      <c r="K30" s="18">
        <f t="shared" si="44"/>
        <v>8701.8567693621135</v>
      </c>
      <c r="L30" s="18">
        <f t="shared" si="45"/>
        <v>6913.2371011752957</v>
      </c>
      <c r="M30" s="18">
        <f t="shared" si="46"/>
        <v>11978.079172847943</v>
      </c>
      <c r="N30" s="6"/>
      <c r="O30" s="21">
        <v>7000</v>
      </c>
      <c r="P30" s="14">
        <f t="shared" si="47"/>
        <v>2207.5389</v>
      </c>
      <c r="Q30" s="14">
        <f t="shared" si="48"/>
        <v>1753.7911999999999</v>
      </c>
      <c r="R30" s="14">
        <f t="shared" si="49"/>
        <v>3038.6705299999999</v>
      </c>
      <c r="S30" s="21">
        <v>0</v>
      </c>
      <c r="T30" s="12">
        <f t="shared" si="50"/>
        <v>0</v>
      </c>
      <c r="U30" s="12">
        <f t="shared" si="51"/>
        <v>0</v>
      </c>
      <c r="V30" s="12">
        <f t="shared" si="52"/>
        <v>0</v>
      </c>
      <c r="W30" s="6">
        <f t="shared" si="53"/>
        <v>551.86341120000009</v>
      </c>
      <c r="X30" s="12">
        <f t="shared" si="54"/>
        <v>174.03713538724227</v>
      </c>
      <c r="Y30" s="12">
        <f t="shared" si="55"/>
        <v>138.26474202350593</v>
      </c>
      <c r="Z30" s="12">
        <f t="shared" si="56"/>
        <v>239.56158345695889</v>
      </c>
      <c r="AA30" s="21">
        <v>0</v>
      </c>
      <c r="AB30" s="14">
        <f t="shared" si="57"/>
        <v>0</v>
      </c>
      <c r="AC30" s="14">
        <f t="shared" si="58"/>
        <v>0</v>
      </c>
      <c r="AD30" s="12">
        <f t="shared" si="59"/>
        <v>0</v>
      </c>
      <c r="AE30" s="2"/>
      <c r="AF30" s="14">
        <f t="shared" si="67"/>
        <v>0</v>
      </c>
      <c r="AG30" s="14">
        <f t="shared" si="68"/>
        <v>0</v>
      </c>
      <c r="AH30" s="14">
        <f t="shared" si="69"/>
        <v>0</v>
      </c>
      <c r="AI30" s="2">
        <v>0</v>
      </c>
      <c r="AJ30" s="2"/>
      <c r="AK30" s="2"/>
      <c r="AL30" s="2"/>
      <c r="AM30" s="6">
        <f t="shared" si="60"/>
        <v>7551.8634112</v>
      </c>
      <c r="AN30" s="12">
        <f t="shared" si="61"/>
        <v>2381.576035387242</v>
      </c>
      <c r="AO30" s="12">
        <f t="shared" si="62"/>
        <v>1892.0559420235056</v>
      </c>
      <c r="AP30" s="12">
        <f t="shared" si="63"/>
        <v>3278.2321134569588</v>
      </c>
      <c r="AQ30" s="7">
        <f>J30-AM30+B30</f>
        <v>-7015.9228511999972</v>
      </c>
      <c r="AR30" s="12">
        <f t="shared" si="64"/>
        <v>-2212.5603733461294</v>
      </c>
      <c r="AS30" s="12">
        <f t="shared" si="65"/>
        <v>-1757.780536616209</v>
      </c>
      <c r="AT30" s="12">
        <f t="shared" si="66"/>
        <v>-3045.5825726707153</v>
      </c>
    </row>
    <row r="31" spans="1:48" x14ac:dyDescent="0.25">
      <c r="A31" s="4">
        <v>41518</v>
      </c>
      <c r="B31" s="10">
        <v>6963.7</v>
      </c>
      <c r="C31" s="16">
        <f t="shared" si="37"/>
        <v>2196.0912339900001</v>
      </c>
      <c r="D31" s="16">
        <f t="shared" si="38"/>
        <v>1744.6965399199999</v>
      </c>
      <c r="E31" s="16">
        <f t="shared" si="39"/>
        <v>3022.9129224599997</v>
      </c>
      <c r="F31" s="19">
        <v>29424.76</v>
      </c>
      <c r="G31" s="18">
        <f t="shared" si="40"/>
        <v>8051.9443351519985</v>
      </c>
      <c r="H31" s="18">
        <f t="shared" si="41"/>
        <v>7482.4369327799986</v>
      </c>
      <c r="I31" s="18">
        <f t="shared" si="42"/>
        <v>13890.378732067998</v>
      </c>
      <c r="J31" s="5">
        <f t="shared" si="43"/>
        <v>27988.831711999999</v>
      </c>
      <c r="K31" s="18">
        <f t="shared" si="44"/>
        <v>8826.6335385419425</v>
      </c>
      <c r="L31" s="18">
        <f t="shared" si="45"/>
        <v>7012.3666792552185</v>
      </c>
      <c r="M31" s="18">
        <f t="shared" si="46"/>
        <v>12149.834013197691</v>
      </c>
      <c r="N31" s="6"/>
      <c r="O31" s="21">
        <v>15000</v>
      </c>
      <c r="P31" s="14">
        <f t="shared" si="47"/>
        <v>4730.4404999999997</v>
      </c>
      <c r="Q31" s="14">
        <f t="shared" si="48"/>
        <v>3758.1239999999998</v>
      </c>
      <c r="R31" s="14">
        <f t="shared" si="49"/>
        <v>6511.43685</v>
      </c>
      <c r="S31" s="21">
        <v>0</v>
      </c>
      <c r="T31" s="12">
        <f t="shared" si="50"/>
        <v>0</v>
      </c>
      <c r="U31" s="12">
        <f t="shared" si="51"/>
        <v>0</v>
      </c>
      <c r="V31" s="12">
        <f t="shared" si="52"/>
        <v>0</v>
      </c>
      <c r="W31" s="6">
        <f t="shared" si="53"/>
        <v>559.77663424000002</v>
      </c>
      <c r="X31" s="12">
        <f t="shared" si="54"/>
        <v>176.53267077083885</v>
      </c>
      <c r="Y31" s="12">
        <f t="shared" si="55"/>
        <v>140.24733358510437</v>
      </c>
      <c r="Z31" s="12">
        <f t="shared" si="56"/>
        <v>242.99668026395383</v>
      </c>
      <c r="AA31" s="21">
        <v>4314.6000000000004</v>
      </c>
      <c r="AB31" s="14">
        <f t="shared" si="57"/>
        <v>1360.66390542</v>
      </c>
      <c r="AC31" s="14">
        <f t="shared" si="58"/>
        <v>1080.9867873599999</v>
      </c>
      <c r="AD31" s="12">
        <f t="shared" si="59"/>
        <v>1872.9496955340001</v>
      </c>
      <c r="AE31" s="2"/>
      <c r="AF31" s="14">
        <f t="shared" si="67"/>
        <v>0</v>
      </c>
      <c r="AG31" s="14">
        <f t="shared" si="68"/>
        <v>0</v>
      </c>
      <c r="AH31" s="14">
        <f t="shared" si="69"/>
        <v>0</v>
      </c>
      <c r="AI31" s="2">
        <v>0</v>
      </c>
      <c r="AJ31" s="12">
        <f>AI31*0.3153627</f>
        <v>0</v>
      </c>
      <c r="AK31" s="12">
        <f>AI31*0.2505416</f>
        <v>0</v>
      </c>
      <c r="AL31" s="12">
        <f>AI31*0.43409579</f>
        <v>0</v>
      </c>
      <c r="AM31" s="6">
        <f t="shared" si="60"/>
        <v>19874.376634239998</v>
      </c>
      <c r="AN31" s="12">
        <f t="shared" si="61"/>
        <v>6267.6370761908383</v>
      </c>
      <c r="AO31" s="12">
        <f t="shared" si="62"/>
        <v>4979.3581209451031</v>
      </c>
      <c r="AP31" s="12">
        <f t="shared" si="63"/>
        <v>8627.383225797952</v>
      </c>
      <c r="AQ31" s="7">
        <f>J31-AM31+B31</f>
        <v>15078.155077760002</v>
      </c>
      <c r="AR31" s="12">
        <f t="shared" si="64"/>
        <v>4755.0876963411038</v>
      </c>
      <c r="AS31" s="12">
        <f t="shared" si="65"/>
        <v>3777.7050982301148</v>
      </c>
      <c r="AT31" s="12">
        <f t="shared" si="66"/>
        <v>6545.3636402227394</v>
      </c>
    </row>
    <row r="32" spans="1:48" x14ac:dyDescent="0.25">
      <c r="A32" s="4">
        <v>41548</v>
      </c>
      <c r="B32" s="10">
        <v>13385.58</v>
      </c>
      <c r="C32" s="16">
        <f t="shared" si="37"/>
        <v>4221.3126498660004</v>
      </c>
      <c r="D32" s="16">
        <f t="shared" si="38"/>
        <v>3353.6446301279998</v>
      </c>
      <c r="E32" s="16">
        <f t="shared" si="39"/>
        <v>5810.6240585639998</v>
      </c>
      <c r="F32" s="19">
        <v>29550.5</v>
      </c>
      <c r="G32" s="18">
        <f t="shared" si="40"/>
        <v>8086.3524825999993</v>
      </c>
      <c r="H32" s="18">
        <f t="shared" si="41"/>
        <v>7514.4114202499995</v>
      </c>
      <c r="I32" s="18">
        <f t="shared" si="42"/>
        <v>13949.73609715</v>
      </c>
      <c r="J32" s="5">
        <f t="shared" si="43"/>
        <v>28108.435600000001</v>
      </c>
      <c r="K32" s="18">
        <f t="shared" si="44"/>
        <v>8864.3521435921193</v>
      </c>
      <c r="L32" s="18">
        <f t="shared" si="45"/>
        <v>7042.3324287209598</v>
      </c>
      <c r="M32" s="18">
        <f t="shared" si="46"/>
        <v>12201.753557446124</v>
      </c>
      <c r="N32" s="6"/>
      <c r="O32" s="21">
        <v>9000</v>
      </c>
      <c r="P32" s="14">
        <f t="shared" si="47"/>
        <v>2838.2642999999998</v>
      </c>
      <c r="Q32" s="14">
        <f t="shared" si="48"/>
        <v>2254.8743999999997</v>
      </c>
      <c r="R32" s="14">
        <f t="shared" si="49"/>
        <v>3906.86211</v>
      </c>
      <c r="S32" s="21">
        <v>1991.96</v>
      </c>
      <c r="T32" s="12">
        <f t="shared" si="50"/>
        <v>628.18988389200001</v>
      </c>
      <c r="U32" s="12">
        <f t="shared" si="51"/>
        <v>499.06884553599997</v>
      </c>
      <c r="V32" s="12">
        <f t="shared" si="52"/>
        <v>864.70144984839999</v>
      </c>
      <c r="W32" s="6">
        <f t="shared" si="53"/>
        <v>562.16871200000003</v>
      </c>
      <c r="X32" s="12">
        <f t="shared" si="54"/>
        <v>177.2870428718424</v>
      </c>
      <c r="Y32" s="12">
        <f t="shared" si="55"/>
        <v>140.84664857441919</v>
      </c>
      <c r="Z32" s="12">
        <f t="shared" si="56"/>
        <v>244.03507114892247</v>
      </c>
      <c r="AA32" s="21">
        <v>11210.34</v>
      </c>
      <c r="AB32" s="14">
        <f t="shared" si="57"/>
        <v>3535.3230903180001</v>
      </c>
      <c r="AC32" s="14">
        <f t="shared" si="58"/>
        <v>2808.6565201439998</v>
      </c>
      <c r="AD32" s="12">
        <f t="shared" si="59"/>
        <v>4866.3613984685999</v>
      </c>
      <c r="AE32" s="2"/>
      <c r="AF32" s="14">
        <f t="shared" si="67"/>
        <v>0</v>
      </c>
      <c r="AG32" s="14">
        <f t="shared" si="68"/>
        <v>0</v>
      </c>
      <c r="AH32" s="14">
        <f t="shared" si="69"/>
        <v>0</v>
      </c>
      <c r="AI32" s="2">
        <v>0</v>
      </c>
      <c r="AJ32" s="12">
        <f t="shared" ref="AJ32:AJ35" si="70">AI32*0.3153627</f>
        <v>0</v>
      </c>
      <c r="AK32" s="12">
        <f t="shared" ref="AK32:AK35" si="71">AI32*0.2505416</f>
        <v>0</v>
      </c>
      <c r="AL32" s="12">
        <f t="shared" ref="AL32:AL35" si="72">AI32*0.43409579</f>
        <v>0</v>
      </c>
      <c r="AM32" s="6">
        <f t="shared" si="60"/>
        <v>22764.468712000002</v>
      </c>
      <c r="AN32" s="12">
        <f t="shared" si="61"/>
        <v>7179.064317081843</v>
      </c>
      <c r="AO32" s="12">
        <f t="shared" si="62"/>
        <v>5703.4464142544193</v>
      </c>
      <c r="AP32" s="12">
        <f t="shared" si="63"/>
        <v>9881.9600294659231</v>
      </c>
      <c r="AQ32" s="7">
        <f>J32-AM32+B32</f>
        <v>18729.546887999997</v>
      </c>
      <c r="AR32" s="12">
        <f t="shared" si="64"/>
        <v>5906.6004763762767</v>
      </c>
      <c r="AS32" s="12">
        <f t="shared" si="65"/>
        <v>4692.5306445945398</v>
      </c>
      <c r="AT32" s="12">
        <f t="shared" si="66"/>
        <v>8130.4174526883999</v>
      </c>
    </row>
    <row r="33" spans="1:46" x14ac:dyDescent="0.25">
      <c r="A33" s="4">
        <v>41579</v>
      </c>
      <c r="B33" s="10">
        <v>4475.41</v>
      </c>
      <c r="C33" s="16">
        <f t="shared" si="37"/>
        <v>1411.3773812069999</v>
      </c>
      <c r="D33" s="16">
        <f t="shared" si="38"/>
        <v>1121.2763820559999</v>
      </c>
      <c r="E33" s="16">
        <f t="shared" si="39"/>
        <v>1942.7566842779997</v>
      </c>
      <c r="F33" s="19">
        <v>29732.38</v>
      </c>
      <c r="G33" s="18">
        <f t="shared" si="40"/>
        <v>8136.1230715759993</v>
      </c>
      <c r="H33" s="18">
        <f t="shared" si="41"/>
        <v>7560.6617763899994</v>
      </c>
      <c r="I33" s="18">
        <f t="shared" si="42"/>
        <v>14035.595152034</v>
      </c>
      <c r="J33" s="5">
        <f t="shared" si="43"/>
        <v>28281.439856000001</v>
      </c>
      <c r="K33" s="18">
        <f t="shared" si="44"/>
        <v>8918.911232875771</v>
      </c>
      <c r="L33" s="18">
        <f t="shared" si="45"/>
        <v>7085.6771918260092</v>
      </c>
      <c r="M33" s="18">
        <f t="shared" si="46"/>
        <v>12276.853976627806</v>
      </c>
      <c r="N33" s="6"/>
      <c r="O33" s="21">
        <v>0</v>
      </c>
      <c r="P33" s="14">
        <f t="shared" si="47"/>
        <v>0</v>
      </c>
      <c r="Q33" s="14">
        <f t="shared" si="48"/>
        <v>0</v>
      </c>
      <c r="R33" s="14">
        <f t="shared" si="49"/>
        <v>0</v>
      </c>
      <c r="S33" s="21"/>
      <c r="T33" s="12">
        <f t="shared" si="50"/>
        <v>0</v>
      </c>
      <c r="U33" s="12">
        <f t="shared" si="51"/>
        <v>0</v>
      </c>
      <c r="V33" s="12">
        <f t="shared" si="52"/>
        <v>0</v>
      </c>
      <c r="W33" s="6">
        <f t="shared" si="53"/>
        <v>565.62879712000006</v>
      </c>
      <c r="X33" s="12">
        <f t="shared" si="54"/>
        <v>178.37822465751543</v>
      </c>
      <c r="Y33" s="12">
        <f t="shared" si="55"/>
        <v>141.71354383652019</v>
      </c>
      <c r="Z33" s="12">
        <f t="shared" si="56"/>
        <v>245.53707953255613</v>
      </c>
      <c r="AA33" s="21"/>
      <c r="AB33" s="14">
        <f t="shared" si="57"/>
        <v>0</v>
      </c>
      <c r="AC33" s="14">
        <f t="shared" si="58"/>
        <v>0</v>
      </c>
      <c r="AD33" s="12">
        <f t="shared" si="59"/>
        <v>0</v>
      </c>
      <c r="AE33" s="2"/>
      <c r="AF33" s="14">
        <f t="shared" si="67"/>
        <v>0</v>
      </c>
      <c r="AG33" s="14">
        <f t="shared" si="68"/>
        <v>0</v>
      </c>
      <c r="AH33" s="14">
        <f t="shared" si="69"/>
        <v>0</v>
      </c>
      <c r="AI33" s="2">
        <v>0</v>
      </c>
      <c r="AJ33" s="12">
        <f t="shared" si="70"/>
        <v>0</v>
      </c>
      <c r="AK33" s="12">
        <f t="shared" si="71"/>
        <v>0</v>
      </c>
      <c r="AL33" s="12">
        <f t="shared" si="72"/>
        <v>0</v>
      </c>
      <c r="AM33" s="6">
        <f t="shared" si="60"/>
        <v>565.62879712000006</v>
      </c>
      <c r="AN33" s="12">
        <f t="shared" si="61"/>
        <v>178.37822465751543</v>
      </c>
      <c r="AO33" s="12">
        <f t="shared" si="62"/>
        <v>141.71354383652019</v>
      </c>
      <c r="AP33" s="12">
        <f t="shared" si="63"/>
        <v>245.53707953255613</v>
      </c>
      <c r="AQ33" s="7">
        <f>J33-AM33+B33</f>
        <v>32191.221058880001</v>
      </c>
      <c r="AR33" s="12">
        <f t="shared" si="64"/>
        <v>10151.910389425257</v>
      </c>
      <c r="AS33" s="12">
        <f t="shared" si="65"/>
        <v>8065.2400300454892</v>
      </c>
      <c r="AT33" s="12">
        <f t="shared" si="66"/>
        <v>13974.073536619149</v>
      </c>
    </row>
    <row r="34" spans="1:46" x14ac:dyDescent="0.25">
      <c r="A34" s="4">
        <v>41609</v>
      </c>
      <c r="B34" s="10">
        <v>-1309.6300000000001</v>
      </c>
      <c r="C34" s="16">
        <f t="shared" si="37"/>
        <v>-413.00845280100003</v>
      </c>
      <c r="D34" s="16">
        <f t="shared" si="38"/>
        <v>-328.11679560800002</v>
      </c>
      <c r="E34" s="16">
        <f t="shared" si="39"/>
        <v>-568.50488255400001</v>
      </c>
      <c r="F34" s="19">
        <v>29900.63</v>
      </c>
      <c r="G34" s="18">
        <f t="shared" si="40"/>
        <v>8182.163876476</v>
      </c>
      <c r="H34" s="18">
        <f t="shared" si="41"/>
        <v>7603.4461530149993</v>
      </c>
      <c r="I34" s="18">
        <f t="shared" si="42"/>
        <v>14115.019970509</v>
      </c>
      <c r="J34" s="5">
        <f t="shared" si="43"/>
        <v>28441.479256000002</v>
      </c>
      <c r="K34" s="18">
        <f t="shared" si="44"/>
        <v>8969.3816901661521</v>
      </c>
      <c r="L34" s="18">
        <f t="shared" si="45"/>
        <v>7125.7737191650494</v>
      </c>
      <c r="M34" s="18">
        <f t="shared" si="46"/>
        <v>12346.326406401933</v>
      </c>
      <c r="N34" s="6"/>
      <c r="O34" s="21">
        <v>0</v>
      </c>
      <c r="P34" s="14">
        <f t="shared" si="47"/>
        <v>0</v>
      </c>
      <c r="Q34" s="14">
        <f t="shared" si="48"/>
        <v>0</v>
      </c>
      <c r="R34" s="14">
        <f t="shared" si="49"/>
        <v>0</v>
      </c>
      <c r="S34" s="21"/>
      <c r="T34" s="12">
        <f t="shared" si="50"/>
        <v>0</v>
      </c>
      <c r="U34" s="12">
        <f t="shared" si="51"/>
        <v>0</v>
      </c>
      <c r="V34" s="12">
        <f t="shared" si="52"/>
        <v>0</v>
      </c>
      <c r="W34" s="6">
        <f t="shared" si="53"/>
        <v>568.82958512000005</v>
      </c>
      <c r="X34" s="12">
        <f t="shared" si="54"/>
        <v>179.38763380332304</v>
      </c>
      <c r="Y34" s="12">
        <f t="shared" si="55"/>
        <v>142.51547438330098</v>
      </c>
      <c r="Z34" s="12">
        <f t="shared" si="56"/>
        <v>246.92652812803865</v>
      </c>
      <c r="AA34" s="21">
        <v>25755.02</v>
      </c>
      <c r="AB34" s="14">
        <f t="shared" si="57"/>
        <v>8122.1726457539999</v>
      </c>
      <c r="AC34" s="14">
        <f t="shared" si="58"/>
        <v>6452.7039188319995</v>
      </c>
      <c r="AD34" s="12">
        <f t="shared" si="59"/>
        <v>11180.145753365799</v>
      </c>
      <c r="AE34" s="2"/>
      <c r="AF34" s="14">
        <f t="shared" si="67"/>
        <v>0</v>
      </c>
      <c r="AG34" s="14">
        <f t="shared" si="68"/>
        <v>0</v>
      </c>
      <c r="AH34" s="14">
        <f t="shared" si="69"/>
        <v>0</v>
      </c>
      <c r="AI34" s="2">
        <v>0</v>
      </c>
      <c r="AJ34" s="12">
        <f t="shared" si="70"/>
        <v>0</v>
      </c>
      <c r="AK34" s="12">
        <f t="shared" si="71"/>
        <v>0</v>
      </c>
      <c r="AL34" s="12">
        <f t="shared" si="72"/>
        <v>0</v>
      </c>
      <c r="AM34" s="6">
        <f t="shared" si="60"/>
        <v>26323.849585119999</v>
      </c>
      <c r="AN34" s="12">
        <f t="shared" si="61"/>
        <v>8301.5602795573232</v>
      </c>
      <c r="AO34" s="12">
        <f t="shared" si="62"/>
        <v>6595.2193932153004</v>
      </c>
      <c r="AP34" s="12">
        <f t="shared" si="63"/>
        <v>11427.072281493838</v>
      </c>
      <c r="AQ34" s="7">
        <f>J34-AM34+B34</f>
        <v>807.99967088000358</v>
      </c>
      <c r="AR34" s="12">
        <f t="shared" si="64"/>
        <v>254.81295780782929</v>
      </c>
      <c r="AS34" s="12">
        <f t="shared" si="65"/>
        <v>202.43753034174949</v>
      </c>
      <c r="AT34" s="12">
        <f t="shared" si="66"/>
        <v>350.74925545039514</v>
      </c>
    </row>
    <row r="35" spans="1:46" x14ac:dyDescent="0.25">
      <c r="A35" s="2" t="s">
        <v>4</v>
      </c>
      <c r="B35" s="2">
        <f>SUM(B23:B34)</f>
        <v>-37358.889999999992</v>
      </c>
      <c r="C35" s="16">
        <f t="shared" si="37"/>
        <v>-11781.600419402997</v>
      </c>
      <c r="D35" s="16">
        <f t="shared" si="38"/>
        <v>-9359.9560748239965</v>
      </c>
      <c r="E35" s="16">
        <f t="shared" si="39"/>
        <v>-16217.337241661995</v>
      </c>
      <c r="F35" s="7">
        <f>SUM(F23:F34)</f>
        <v>335836.33000000007</v>
      </c>
      <c r="G35" s="18">
        <v>91900</v>
      </c>
      <c r="H35" s="18">
        <v>85400</v>
      </c>
      <c r="I35" s="18">
        <v>158536.32999999999</v>
      </c>
      <c r="J35" s="7">
        <f>SUM(J23:J34)</f>
        <v>319447.51709600008</v>
      </c>
      <c r="K35" s="18">
        <f t="shared" si="44"/>
        <v>100741.83149969074</v>
      </c>
      <c r="L35" s="18">
        <f t="shared" si="45"/>
        <v>80034.892049259201</v>
      </c>
      <c r="M35" s="18">
        <f t="shared" si="46"/>
        <v>138670.82229732667</v>
      </c>
      <c r="N35" s="6">
        <f t="shared" ref="N35" si="73">J35/F35*100</f>
        <v>95.12</v>
      </c>
      <c r="O35" s="2">
        <f t="shared" ref="O35:AI35" si="74">SUM(O23:O34)</f>
        <v>61000</v>
      </c>
      <c r="P35" s="14">
        <f t="shared" si="47"/>
        <v>19237.1247</v>
      </c>
      <c r="Q35" s="14">
        <f t="shared" si="48"/>
        <v>15283.037599999998</v>
      </c>
      <c r="R35" s="14">
        <f t="shared" si="49"/>
        <v>26479.84319</v>
      </c>
      <c r="S35" s="2">
        <f t="shared" si="74"/>
        <v>179523.25999999998</v>
      </c>
      <c r="T35" s="12">
        <f t="shared" si="50"/>
        <v>56614.939986401994</v>
      </c>
      <c r="U35" s="12">
        <f t="shared" si="51"/>
        <v>44978.044797615992</v>
      </c>
      <c r="V35" s="12">
        <f t="shared" si="52"/>
        <v>77930.291373075393</v>
      </c>
      <c r="W35" s="6">
        <f t="shared" si="74"/>
        <v>6388.95034192</v>
      </c>
      <c r="X35" s="12">
        <f t="shared" si="54"/>
        <v>2014.8366299938143</v>
      </c>
      <c r="Y35" s="12">
        <f t="shared" si="55"/>
        <v>1600.6978409851838</v>
      </c>
      <c r="Z35" s="12">
        <f t="shared" si="56"/>
        <v>2773.4164459465323</v>
      </c>
      <c r="AA35" s="2">
        <f t="shared" si="74"/>
        <v>88833.05</v>
      </c>
      <c r="AB35" s="14">
        <f t="shared" si="57"/>
        <v>28014.630497235001</v>
      </c>
      <c r="AC35" s="14">
        <f t="shared" si="58"/>
        <v>22256.37447988</v>
      </c>
      <c r="AD35" s="12">
        <f t="shared" si="59"/>
        <v>38562.0530178595</v>
      </c>
      <c r="AE35" s="2">
        <f t="shared" si="74"/>
        <v>0</v>
      </c>
      <c r="AF35" s="14">
        <f t="shared" si="67"/>
        <v>0</v>
      </c>
      <c r="AG35" s="14">
        <f t="shared" si="68"/>
        <v>0</v>
      </c>
      <c r="AH35" s="14">
        <f t="shared" si="69"/>
        <v>0</v>
      </c>
      <c r="AI35" s="2">
        <v>0</v>
      </c>
      <c r="AJ35" s="12">
        <f t="shared" si="70"/>
        <v>0</v>
      </c>
      <c r="AK35" s="12">
        <f t="shared" si="71"/>
        <v>0</v>
      </c>
      <c r="AL35" s="12">
        <f t="shared" si="72"/>
        <v>0</v>
      </c>
      <c r="AM35" s="6">
        <f t="shared" si="60"/>
        <v>335745.26034191996</v>
      </c>
      <c r="AN35" s="12">
        <f t="shared" si="61"/>
        <v>105881.53181363081</v>
      </c>
      <c r="AO35" s="12">
        <f t="shared" si="62"/>
        <v>84118.154718481164</v>
      </c>
      <c r="AP35" s="12">
        <f t="shared" si="63"/>
        <v>145745.6040268814</v>
      </c>
      <c r="AQ35" s="7">
        <f>J35-AM35+B35</f>
        <v>-53656.633245919867</v>
      </c>
      <c r="AR35" s="12">
        <f t="shared" si="64"/>
        <v>-16921.300733343054</v>
      </c>
      <c r="AS35" s="12">
        <f t="shared" si="65"/>
        <v>-13443.218744045957</v>
      </c>
      <c r="AT35" s="12">
        <f t="shared" si="66"/>
        <v>-23292.118597627847</v>
      </c>
    </row>
    <row r="38" spans="1:46" x14ac:dyDescent="0.25">
      <c r="O38" s="1" t="s">
        <v>8</v>
      </c>
    </row>
    <row r="39" spans="1:46" ht="126" x14ac:dyDescent="0.25">
      <c r="A39" s="2" t="s">
        <v>11</v>
      </c>
      <c r="B39" s="3" t="s">
        <v>12</v>
      </c>
      <c r="C39" s="13" t="s">
        <v>18</v>
      </c>
      <c r="D39" s="13" t="s">
        <v>19</v>
      </c>
      <c r="E39" s="13" t="s">
        <v>20</v>
      </c>
      <c r="F39" s="3" t="s">
        <v>0</v>
      </c>
      <c r="G39" s="13" t="s">
        <v>18</v>
      </c>
      <c r="H39" s="13" t="s">
        <v>19</v>
      </c>
      <c r="I39" s="13" t="s">
        <v>20</v>
      </c>
      <c r="J39" s="3" t="s">
        <v>1</v>
      </c>
      <c r="K39" s="13" t="s">
        <v>18</v>
      </c>
      <c r="L39" s="13" t="s">
        <v>19</v>
      </c>
      <c r="M39" s="13" t="s">
        <v>20</v>
      </c>
      <c r="N39" s="3" t="s">
        <v>2</v>
      </c>
      <c r="O39" s="3" t="s">
        <v>9</v>
      </c>
      <c r="P39" s="13" t="s">
        <v>18</v>
      </c>
      <c r="Q39" s="13" t="s">
        <v>19</v>
      </c>
      <c r="R39" s="13" t="s">
        <v>20</v>
      </c>
      <c r="S39" s="3" t="s">
        <v>3</v>
      </c>
      <c r="T39" s="13" t="s">
        <v>18</v>
      </c>
      <c r="U39" s="13" t="s">
        <v>19</v>
      </c>
      <c r="V39" s="13" t="s">
        <v>20</v>
      </c>
      <c r="W39" s="3" t="s">
        <v>7</v>
      </c>
      <c r="X39" s="13" t="s">
        <v>18</v>
      </c>
      <c r="Y39" s="13" t="s">
        <v>19</v>
      </c>
      <c r="Z39" s="13" t="s">
        <v>20</v>
      </c>
      <c r="AA39" s="3" t="s">
        <v>6</v>
      </c>
      <c r="AB39" s="13" t="s">
        <v>18</v>
      </c>
      <c r="AC39" s="13" t="s">
        <v>19</v>
      </c>
      <c r="AD39" s="13" t="s">
        <v>20</v>
      </c>
    </row>
    <row r="40" spans="1:46" x14ac:dyDescent="0.25">
      <c r="A40" s="4">
        <v>41275</v>
      </c>
      <c r="B40" s="24">
        <v>10130.469999999999</v>
      </c>
      <c r="C40" s="12">
        <f>B40*0.3149119</f>
        <v>3190.2055555930001</v>
      </c>
      <c r="D40" s="12">
        <f>B40*0.2502409</f>
        <v>2535.0579302229999</v>
      </c>
      <c r="E40" s="12">
        <f>B40*0.4348472</f>
        <v>4405.2065141839994</v>
      </c>
      <c r="F40" s="19">
        <v>30609.59</v>
      </c>
      <c r="G40" s="18">
        <f>F40*0.2763004</f>
        <v>8457.4419608360004</v>
      </c>
      <c r="H40" s="18">
        <f>F40*0.2535066</f>
        <v>7759.7330882940005</v>
      </c>
      <c r="I40" s="18">
        <f>F40*0.470193</f>
        <v>14392.414950870001</v>
      </c>
      <c r="J40" s="5">
        <f>F40*95.12%</f>
        <v>29115.842008000003</v>
      </c>
      <c r="K40" s="18">
        <f>J40*0.3149119</f>
        <v>9168.9251268390963</v>
      </c>
      <c r="L40" s="18">
        <f>J40*0.2502409</f>
        <v>7285.9745083397274</v>
      </c>
      <c r="M40" s="18">
        <f>J40*0.4348472</f>
        <v>12660.942372821179</v>
      </c>
      <c r="N40" s="6"/>
      <c r="O40" s="21">
        <v>6452</v>
      </c>
      <c r="P40" s="12">
        <f>O40*0.3149119</f>
        <v>2031.8115788000002</v>
      </c>
      <c r="Q40" s="12">
        <f>O40*0.2502409</f>
        <v>1614.5542868</v>
      </c>
      <c r="R40" s="12">
        <f>O40*0.4348472</f>
        <v>2805.6341343999998</v>
      </c>
      <c r="S40" s="6">
        <f>J40*2%</f>
        <v>582.31684016000008</v>
      </c>
      <c r="T40" s="12">
        <f>S40*0.3149119</f>
        <v>183.37850253678195</v>
      </c>
      <c r="U40" s="12">
        <f>S40*0.2502409</f>
        <v>145.71949016679457</v>
      </c>
      <c r="V40" s="12">
        <f>S40*0.4348472</f>
        <v>253.21884745642359</v>
      </c>
      <c r="W40" s="6">
        <f>O40+S40</f>
        <v>7034.3168401599996</v>
      </c>
      <c r="X40" s="12">
        <f>W40*0.3149119</f>
        <v>2215.190081336782</v>
      </c>
      <c r="Y40" s="12">
        <f>W40*0.2502409</f>
        <v>1760.2737769667945</v>
      </c>
      <c r="Z40" s="12">
        <f>W40*0.4348472</f>
        <v>3058.8529818564234</v>
      </c>
      <c r="AA40" s="7">
        <f>J40-W40+B40</f>
        <v>32211.995167840003</v>
      </c>
      <c r="AB40" s="14">
        <f>AA40*0.3149119</f>
        <v>10143.940601095315</v>
      </c>
      <c r="AC40" s="14">
        <f>AA40*0.2502409</f>
        <v>8060.7586615959326</v>
      </c>
      <c r="AD40" s="14">
        <f>AA40*0.4348472</f>
        <v>14007.295905148754</v>
      </c>
    </row>
    <row r="41" spans="1:46" x14ac:dyDescent="0.25">
      <c r="A41" s="4">
        <v>41306</v>
      </c>
      <c r="B41" s="24">
        <v>8879.94</v>
      </c>
      <c r="C41" s="12">
        <f t="shared" ref="C41:C52" si="75">B41*0.3149119</f>
        <v>2796.3987772860005</v>
      </c>
      <c r="D41" s="12">
        <f t="shared" ref="D41:D52" si="76">B41*0.2502409</f>
        <v>2222.1241775459998</v>
      </c>
      <c r="E41" s="12">
        <f t="shared" ref="E41:E52" si="77">B41*0.4348472</f>
        <v>3861.4170451680002</v>
      </c>
      <c r="F41" s="19">
        <v>34796.379999999997</v>
      </c>
      <c r="G41" s="18">
        <f t="shared" ref="G41:G51" si="78">F41*0.2763004</f>
        <v>9614.2537125519993</v>
      </c>
      <c r="H41" s="18">
        <f t="shared" ref="H41:H51" si="79">F41*0.2535066</f>
        <v>8821.1119861080006</v>
      </c>
      <c r="I41" s="18">
        <f t="shared" ref="I41:I51" si="80">F41*0.470193</f>
        <v>16361.014301339999</v>
      </c>
      <c r="J41" s="5">
        <f t="shared" ref="J41:J51" si="81">F41*95.12%</f>
        <v>33098.316656000003</v>
      </c>
      <c r="K41" s="18">
        <f t="shared" ref="K41:K52" si="82">J41*0.3149119</f>
        <v>10423.053784942607</v>
      </c>
      <c r="L41" s="18">
        <f t="shared" ref="L41:L52" si="83">J41*0.2502409</f>
        <v>8282.5525484824302</v>
      </c>
      <c r="M41" s="18">
        <f t="shared" ref="M41:M52" si="84">J41*0.4348472</f>
        <v>14392.710322574963</v>
      </c>
      <c r="N41" s="6"/>
      <c r="O41" s="21">
        <v>432.06</v>
      </c>
      <c r="P41" s="12">
        <f t="shared" ref="P41:P52" si="85">O41*0.3149119</f>
        <v>136.06083551400002</v>
      </c>
      <c r="Q41" s="12">
        <f t="shared" ref="Q41:Q52" si="86">O41*0.2502409</f>
        <v>108.11908325399999</v>
      </c>
      <c r="R41" s="12">
        <f t="shared" ref="R41:R52" si="87">O41*0.4348472</f>
        <v>187.88008123200001</v>
      </c>
      <c r="S41" s="6">
        <f>J41*2%</f>
        <v>661.96633312000006</v>
      </c>
      <c r="T41" s="12">
        <f t="shared" ref="T41:T52" si="88">S41*0.3149119</f>
        <v>208.46107569885217</v>
      </c>
      <c r="U41" s="12">
        <f t="shared" ref="U41:U52" si="89">S41*0.2502409</f>
        <v>165.65105096964862</v>
      </c>
      <c r="V41" s="12">
        <f t="shared" ref="V41:V52" si="90">S41*0.4348472</f>
        <v>287.85420645149929</v>
      </c>
      <c r="W41" s="6">
        <f t="shared" ref="W41:W52" si="91">O41+S41</f>
        <v>1094.0263331200001</v>
      </c>
      <c r="X41" s="12">
        <f t="shared" ref="X41:X52" si="92">W41*0.3149119</f>
        <v>344.52191121285222</v>
      </c>
      <c r="Y41" s="12">
        <f t="shared" ref="Y41:Y52" si="93">W41*0.2502409</f>
        <v>273.7701342236486</v>
      </c>
      <c r="Z41" s="12">
        <f t="shared" ref="Z41:Z52" si="94">W41*0.4348472</f>
        <v>475.7342876834993</v>
      </c>
      <c r="AA41" s="7">
        <f>J41-W41+B41</f>
        <v>40884.230322880001</v>
      </c>
      <c r="AB41" s="14">
        <f t="shared" ref="AB41:AB52" si="95">AA41*0.3149119</f>
        <v>12874.930651015755</v>
      </c>
      <c r="AC41" s="14">
        <f t="shared" ref="AC41:AC52" si="96">AA41*0.2502409</f>
        <v>10230.906591804782</v>
      </c>
      <c r="AD41" s="14">
        <f t="shared" ref="AD41:AD52" si="97">AA41*0.4348472</f>
        <v>17778.393080059464</v>
      </c>
    </row>
    <row r="42" spans="1:46" x14ac:dyDescent="0.25">
      <c r="A42" s="4">
        <v>41334</v>
      </c>
      <c r="B42" s="24">
        <v>10224.950000000001</v>
      </c>
      <c r="C42" s="12">
        <f t="shared" si="75"/>
        <v>3219.9584319050005</v>
      </c>
      <c r="D42" s="12">
        <f t="shared" si="76"/>
        <v>2558.7006904549999</v>
      </c>
      <c r="E42" s="12">
        <f t="shared" si="77"/>
        <v>4446.29087764</v>
      </c>
      <c r="F42" s="19">
        <v>37025.050000000003</v>
      </c>
      <c r="G42" s="18">
        <f t="shared" si="78"/>
        <v>10230.03612502</v>
      </c>
      <c r="H42" s="18">
        <f t="shared" si="79"/>
        <v>9386.0945403300011</v>
      </c>
      <c r="I42" s="18">
        <f t="shared" si="80"/>
        <v>17408.919334650003</v>
      </c>
      <c r="J42" s="5">
        <f t="shared" si="81"/>
        <v>35218.227560000007</v>
      </c>
      <c r="K42" s="18">
        <f t="shared" si="82"/>
        <v>11090.638955551967</v>
      </c>
      <c r="L42" s="18">
        <f t="shared" si="83"/>
        <v>8813.0409610192055</v>
      </c>
      <c r="M42" s="18">
        <f t="shared" si="84"/>
        <v>15314.547643428834</v>
      </c>
      <c r="N42" s="6"/>
      <c r="O42" s="21">
        <v>2272</v>
      </c>
      <c r="P42" s="12">
        <f t="shared" si="85"/>
        <v>715.47983680000004</v>
      </c>
      <c r="Q42" s="12">
        <f t="shared" si="86"/>
        <v>568.54732479999996</v>
      </c>
      <c r="R42" s="12">
        <f t="shared" si="87"/>
        <v>987.9728384</v>
      </c>
      <c r="S42" s="6">
        <f>J42*2%</f>
        <v>704.36455120000016</v>
      </c>
      <c r="T42" s="12">
        <f t="shared" si="88"/>
        <v>221.81277911103936</v>
      </c>
      <c r="U42" s="12">
        <f t="shared" si="89"/>
        <v>176.26081922038412</v>
      </c>
      <c r="V42" s="12">
        <f t="shared" si="90"/>
        <v>306.29095286857671</v>
      </c>
      <c r="W42" s="6">
        <f t="shared" si="91"/>
        <v>2976.3645512000003</v>
      </c>
      <c r="X42" s="12">
        <f t="shared" si="92"/>
        <v>937.29261591103943</v>
      </c>
      <c r="Y42" s="12">
        <f t="shared" si="93"/>
        <v>744.80814402038413</v>
      </c>
      <c r="Z42" s="12">
        <f t="shared" si="94"/>
        <v>1294.2637912685768</v>
      </c>
      <c r="AA42" s="7">
        <f>J42-W42+B42</f>
        <v>42466.813008800003</v>
      </c>
      <c r="AB42" s="14">
        <f t="shared" si="95"/>
        <v>13373.304771545927</v>
      </c>
      <c r="AC42" s="14">
        <f t="shared" si="96"/>
        <v>10626.933507453819</v>
      </c>
      <c r="AD42" s="14">
        <f t="shared" si="97"/>
        <v>18466.574729800257</v>
      </c>
    </row>
    <row r="43" spans="1:46" x14ac:dyDescent="0.25">
      <c r="A43" s="4">
        <v>41365</v>
      </c>
      <c r="B43" s="10">
        <v>18340.66</v>
      </c>
      <c r="C43" s="12">
        <f t="shared" si="75"/>
        <v>5775.6920878540004</v>
      </c>
      <c r="D43" s="12">
        <f t="shared" si="76"/>
        <v>4589.5832649939994</v>
      </c>
      <c r="E43" s="12">
        <f t="shared" si="77"/>
        <v>7975.3846471520001</v>
      </c>
      <c r="F43" s="19">
        <v>38394.959999999999</v>
      </c>
      <c r="G43" s="18">
        <f t="shared" si="78"/>
        <v>10608.542805984</v>
      </c>
      <c r="H43" s="18">
        <f t="shared" si="79"/>
        <v>9733.3757667360005</v>
      </c>
      <c r="I43" s="18">
        <f t="shared" si="80"/>
        <v>18053.041427280001</v>
      </c>
      <c r="J43" s="5">
        <f t="shared" si="81"/>
        <v>36521.285951999998</v>
      </c>
      <c r="K43" s="18">
        <f t="shared" si="82"/>
        <v>11500.987549587629</v>
      </c>
      <c r="L43" s="18">
        <f t="shared" si="83"/>
        <v>9139.1194657858359</v>
      </c>
      <c r="M43" s="18">
        <f t="shared" si="84"/>
        <v>15881.178936626533</v>
      </c>
      <c r="N43" s="6"/>
      <c r="O43" s="21">
        <v>6452</v>
      </c>
      <c r="P43" s="12">
        <f t="shared" si="85"/>
        <v>2031.8115788000002</v>
      </c>
      <c r="Q43" s="12">
        <f t="shared" si="86"/>
        <v>1614.5542868</v>
      </c>
      <c r="R43" s="12">
        <f t="shared" si="87"/>
        <v>2805.6341343999998</v>
      </c>
      <c r="S43" s="6">
        <f>J43*2%</f>
        <v>730.42571903999999</v>
      </c>
      <c r="T43" s="12">
        <f t="shared" si="88"/>
        <v>230.0197509917526</v>
      </c>
      <c r="U43" s="12">
        <f t="shared" si="89"/>
        <v>182.78238931571673</v>
      </c>
      <c r="V43" s="12">
        <f t="shared" si="90"/>
        <v>317.62357873253069</v>
      </c>
      <c r="W43" s="6">
        <f t="shared" si="91"/>
        <v>7182.4257190400003</v>
      </c>
      <c r="X43" s="12">
        <f t="shared" si="92"/>
        <v>2261.831329791753</v>
      </c>
      <c r="Y43" s="12">
        <f t="shared" si="93"/>
        <v>1797.3366761157167</v>
      </c>
      <c r="Z43" s="12">
        <f t="shared" si="94"/>
        <v>3123.2577131325306</v>
      </c>
      <c r="AA43" s="7">
        <f>J43-W43+B43</f>
        <v>47679.52023296</v>
      </c>
      <c r="AB43" s="14">
        <f t="shared" si="95"/>
        <v>15014.848307649878</v>
      </c>
      <c r="AC43" s="14">
        <f t="shared" si="96"/>
        <v>11931.366054664119</v>
      </c>
      <c r="AD43" s="14">
        <f t="shared" si="97"/>
        <v>20733.305870646003</v>
      </c>
    </row>
    <row r="44" spans="1:46" x14ac:dyDescent="0.25">
      <c r="A44" s="4">
        <v>41395</v>
      </c>
      <c r="B44" s="10">
        <v>16932.990000000002</v>
      </c>
      <c r="C44" s="12">
        <f t="shared" si="75"/>
        <v>5332.400053581001</v>
      </c>
      <c r="D44" s="12">
        <f t="shared" si="76"/>
        <v>4237.3266572910006</v>
      </c>
      <c r="E44" s="12">
        <f t="shared" si="77"/>
        <v>7363.2632891280009</v>
      </c>
      <c r="F44" s="19">
        <v>37929.58</v>
      </c>
      <c r="G44" s="18">
        <f t="shared" si="78"/>
        <v>10479.958125832001</v>
      </c>
      <c r="H44" s="18">
        <f t="shared" si="79"/>
        <v>9615.3988652280023</v>
      </c>
      <c r="I44" s="18">
        <f t="shared" si="80"/>
        <v>17834.223008940004</v>
      </c>
      <c r="J44" s="5">
        <f t="shared" si="81"/>
        <v>36078.616496000002</v>
      </c>
      <c r="K44" s="18">
        <f t="shared" si="82"/>
        <v>11361.585670126704</v>
      </c>
      <c r="L44" s="18">
        <f t="shared" si="83"/>
        <v>9028.3454627138872</v>
      </c>
      <c r="M44" s="18">
        <f t="shared" si="84"/>
        <v>15688.685363159411</v>
      </c>
      <c r="N44" s="6"/>
      <c r="O44" s="21">
        <v>1704.1</v>
      </c>
      <c r="P44" s="12">
        <f t="shared" si="85"/>
        <v>536.64136879</v>
      </c>
      <c r="Q44" s="12">
        <f t="shared" si="86"/>
        <v>426.43551768999998</v>
      </c>
      <c r="R44" s="12">
        <f t="shared" si="87"/>
        <v>741.02311351999992</v>
      </c>
      <c r="S44" s="6">
        <f>J44*2%</f>
        <v>721.57232992000002</v>
      </c>
      <c r="T44" s="12">
        <f t="shared" si="88"/>
        <v>227.23171340253407</v>
      </c>
      <c r="U44" s="12">
        <f t="shared" si="89"/>
        <v>180.56690925427773</v>
      </c>
      <c r="V44" s="12">
        <f t="shared" si="90"/>
        <v>313.77370726318821</v>
      </c>
      <c r="W44" s="6">
        <f t="shared" si="91"/>
        <v>2425.6723299199998</v>
      </c>
      <c r="X44" s="12">
        <f t="shared" si="92"/>
        <v>763.87308219253407</v>
      </c>
      <c r="Y44" s="12">
        <f t="shared" si="93"/>
        <v>607.00242694427766</v>
      </c>
      <c r="Z44" s="12">
        <f t="shared" si="94"/>
        <v>1054.7968207831882</v>
      </c>
      <c r="AA44" s="7">
        <f>J44-W44+B44</f>
        <v>50585.934166079998</v>
      </c>
      <c r="AB44" s="14">
        <f t="shared" si="95"/>
        <v>15930.112641515168</v>
      </c>
      <c r="AC44" s="14">
        <f t="shared" si="96"/>
        <v>12658.669693060609</v>
      </c>
      <c r="AD44" s="14">
        <f t="shared" si="97"/>
        <v>21997.151831504223</v>
      </c>
    </row>
    <row r="45" spans="1:46" x14ac:dyDescent="0.25">
      <c r="A45" s="4">
        <v>41426</v>
      </c>
      <c r="B45" s="10">
        <v>14175.34</v>
      </c>
      <c r="C45" s="12">
        <f t="shared" si="75"/>
        <v>4463.9832525460006</v>
      </c>
      <c r="D45" s="12">
        <f t="shared" si="76"/>
        <v>3547.2498394059999</v>
      </c>
      <c r="E45" s="12">
        <f t="shared" si="77"/>
        <v>6164.1069080480002</v>
      </c>
      <c r="F45" s="19">
        <v>38958.21</v>
      </c>
      <c r="G45" s="18">
        <f t="shared" si="78"/>
        <v>10764.169006284001</v>
      </c>
      <c r="H45" s="18">
        <f t="shared" si="79"/>
        <v>9876.1633591860009</v>
      </c>
      <c r="I45" s="18">
        <f t="shared" si="80"/>
        <v>18317.877634529999</v>
      </c>
      <c r="J45" s="5">
        <f t="shared" si="81"/>
        <v>37057.049352000002</v>
      </c>
      <c r="K45" s="18">
        <f t="shared" si="82"/>
        <v>11669.70581983209</v>
      </c>
      <c r="L45" s="18">
        <f t="shared" si="83"/>
        <v>9273.1893811888967</v>
      </c>
      <c r="M45" s="18">
        <f t="shared" si="84"/>
        <v>16114.154150979015</v>
      </c>
      <c r="N45" s="6"/>
      <c r="O45" s="21">
        <v>9225.86</v>
      </c>
      <c r="P45" s="12">
        <f t="shared" si="85"/>
        <v>2905.3331017340006</v>
      </c>
      <c r="Q45" s="12">
        <f t="shared" si="86"/>
        <v>2308.687509674</v>
      </c>
      <c r="R45" s="12">
        <f t="shared" si="87"/>
        <v>4011.839388592</v>
      </c>
      <c r="S45" s="6">
        <f>J45*2%</f>
        <v>741.14098704000003</v>
      </c>
      <c r="T45" s="12">
        <f t="shared" si="88"/>
        <v>233.39411639664181</v>
      </c>
      <c r="U45" s="12">
        <f t="shared" si="89"/>
        <v>185.46378762377793</v>
      </c>
      <c r="V45" s="12">
        <f t="shared" si="90"/>
        <v>322.28308301958032</v>
      </c>
      <c r="W45" s="6">
        <f t="shared" si="91"/>
        <v>9967.0009870400008</v>
      </c>
      <c r="X45" s="12">
        <f t="shared" si="92"/>
        <v>3138.7272181306421</v>
      </c>
      <c r="Y45" s="12">
        <f t="shared" si="93"/>
        <v>2494.151297297778</v>
      </c>
      <c r="Z45" s="12">
        <f t="shared" si="94"/>
        <v>4334.1224716115803</v>
      </c>
      <c r="AA45" s="7">
        <f>J45-W45+B45</f>
        <v>41265.388364960003</v>
      </c>
      <c r="AB45" s="14">
        <f t="shared" si="95"/>
        <v>12994.961854247449</v>
      </c>
      <c r="AC45" s="14">
        <f t="shared" si="96"/>
        <v>10326.287923297119</v>
      </c>
      <c r="AD45" s="14">
        <f t="shared" si="97"/>
        <v>17944.138587415437</v>
      </c>
    </row>
    <row r="46" spans="1:46" x14ac:dyDescent="0.25">
      <c r="A46" s="4">
        <v>41456</v>
      </c>
      <c r="B46" s="10">
        <v>13841.94</v>
      </c>
      <c r="C46" s="12">
        <f t="shared" si="75"/>
        <v>4358.9916250860006</v>
      </c>
      <c r="D46" s="12">
        <f t="shared" si="76"/>
        <v>3463.8195233460001</v>
      </c>
      <c r="E46" s="12">
        <f t="shared" si="77"/>
        <v>6019.1288515679998</v>
      </c>
      <c r="F46" s="19">
        <v>46922.41</v>
      </c>
      <c r="G46" s="18">
        <f t="shared" si="78"/>
        <v>12964.680651964001</v>
      </c>
      <c r="H46" s="18">
        <f t="shared" si="79"/>
        <v>11895.140622906001</v>
      </c>
      <c r="I46" s="18">
        <f t="shared" si="80"/>
        <v>22062.588725130005</v>
      </c>
      <c r="J46" s="5">
        <f t="shared" si="81"/>
        <v>44632.596392000007</v>
      </c>
      <c r="K46" s="18">
        <f t="shared" si="82"/>
        <v>14055.335731737869</v>
      </c>
      <c r="L46" s="18">
        <f t="shared" si="83"/>
        <v>11168.901090470834</v>
      </c>
      <c r="M46" s="18">
        <f t="shared" si="84"/>
        <v>19408.359569791304</v>
      </c>
      <c r="N46" s="6"/>
      <c r="O46" s="21">
        <v>6452</v>
      </c>
      <c r="P46" s="12">
        <f t="shared" si="85"/>
        <v>2031.8115788000002</v>
      </c>
      <c r="Q46" s="12">
        <f t="shared" si="86"/>
        <v>1614.5542868</v>
      </c>
      <c r="R46" s="12">
        <f t="shared" si="87"/>
        <v>2805.6341343999998</v>
      </c>
      <c r="S46" s="6">
        <f>J46*2%</f>
        <v>892.6519278400001</v>
      </c>
      <c r="T46" s="12">
        <f t="shared" si="88"/>
        <v>281.10671463475734</v>
      </c>
      <c r="U46" s="12">
        <f t="shared" si="89"/>
        <v>223.37802180941668</v>
      </c>
      <c r="V46" s="12">
        <f t="shared" si="90"/>
        <v>388.16719139582608</v>
      </c>
      <c r="W46" s="6">
        <f t="shared" si="91"/>
        <v>7344.6519278400001</v>
      </c>
      <c r="X46" s="12">
        <f t="shared" si="92"/>
        <v>2312.9182934347573</v>
      </c>
      <c r="Y46" s="12">
        <f t="shared" si="93"/>
        <v>1837.9323086094166</v>
      </c>
      <c r="Z46" s="12">
        <f t="shared" si="94"/>
        <v>3193.801325795826</v>
      </c>
      <c r="AA46" s="7">
        <f>J46-W46+B46</f>
        <v>51129.884464160008</v>
      </c>
      <c r="AB46" s="14">
        <f t="shared" si="95"/>
        <v>16101.409063389112</v>
      </c>
      <c r="AC46" s="14">
        <f t="shared" si="96"/>
        <v>12794.788305207418</v>
      </c>
      <c r="AD46" s="14">
        <f t="shared" si="97"/>
        <v>22233.68709556348</v>
      </c>
    </row>
    <row r="47" spans="1:46" x14ac:dyDescent="0.25">
      <c r="A47" s="4">
        <v>41487</v>
      </c>
      <c r="B47" s="10">
        <v>25484.15</v>
      </c>
      <c r="C47" s="12">
        <f t="shared" si="75"/>
        <v>8025.2620963850013</v>
      </c>
      <c r="D47" s="12">
        <f t="shared" si="76"/>
        <v>6377.1766317350002</v>
      </c>
      <c r="E47" s="12">
        <f t="shared" si="77"/>
        <v>11081.71127188</v>
      </c>
      <c r="F47" s="19">
        <v>47168.37</v>
      </c>
      <c r="G47" s="18">
        <f t="shared" si="78"/>
        <v>13032.639498348</v>
      </c>
      <c r="H47" s="18">
        <f t="shared" si="79"/>
        <v>11957.493106242002</v>
      </c>
      <c r="I47" s="18">
        <f t="shared" si="80"/>
        <v>22178.237395410004</v>
      </c>
      <c r="J47" s="5">
        <f t="shared" si="81"/>
        <v>44866.553544000002</v>
      </c>
      <c r="K47" s="18">
        <f t="shared" si="82"/>
        <v>14129.011622992775</v>
      </c>
      <c r="L47" s="18">
        <f t="shared" si="83"/>
        <v>11227.446738748749</v>
      </c>
      <c r="M47" s="18">
        <f t="shared" si="84"/>
        <v>19510.095182258476</v>
      </c>
      <c r="N47" s="6"/>
      <c r="O47" s="21">
        <v>50072.91</v>
      </c>
      <c r="P47" s="12">
        <f t="shared" si="85"/>
        <v>15768.555226629001</v>
      </c>
      <c r="Q47" s="12">
        <f t="shared" si="86"/>
        <v>12530.290064019</v>
      </c>
      <c r="R47" s="12">
        <f t="shared" si="87"/>
        <v>21774.064709352002</v>
      </c>
      <c r="S47" s="6">
        <f>J47*2%</f>
        <v>897.33107088000008</v>
      </c>
      <c r="T47" s="12">
        <f t="shared" si="88"/>
        <v>282.58023245985549</v>
      </c>
      <c r="U47" s="12">
        <f t="shared" si="89"/>
        <v>224.54893477497501</v>
      </c>
      <c r="V47" s="12">
        <f t="shared" si="90"/>
        <v>390.20190364516958</v>
      </c>
      <c r="W47" s="6">
        <f t="shared" si="91"/>
        <v>50970.241070880002</v>
      </c>
      <c r="X47" s="12">
        <f t="shared" si="92"/>
        <v>16051.135459088857</v>
      </c>
      <c r="Y47" s="12">
        <f t="shared" si="93"/>
        <v>12754.838998793975</v>
      </c>
      <c r="Z47" s="12">
        <f t="shared" si="94"/>
        <v>22164.266612997169</v>
      </c>
      <c r="AA47" s="7">
        <f>J47-W47+B47</f>
        <v>19380.462473120002</v>
      </c>
      <c r="AB47" s="14">
        <f t="shared" si="95"/>
        <v>6103.1382602889189</v>
      </c>
      <c r="AC47" s="14">
        <f t="shared" si="96"/>
        <v>4849.7843716897751</v>
      </c>
      <c r="AD47" s="14">
        <f t="shared" si="97"/>
        <v>8427.539841141308</v>
      </c>
    </row>
    <row r="48" spans="1:46" x14ac:dyDescent="0.25">
      <c r="A48" s="4">
        <v>41518</v>
      </c>
      <c r="B48" s="10">
        <v>31001.439999999999</v>
      </c>
      <c r="C48" s="12">
        <f t="shared" si="75"/>
        <v>9762.7223731360009</v>
      </c>
      <c r="D48" s="12">
        <f t="shared" si="76"/>
        <v>7757.8282468959997</v>
      </c>
      <c r="E48" s="12">
        <f t="shared" si="77"/>
        <v>13480.889379967999</v>
      </c>
      <c r="F48" s="19">
        <v>47844.74</v>
      </c>
      <c r="G48" s="18">
        <f t="shared" si="78"/>
        <v>13219.520799896</v>
      </c>
      <c r="H48" s="18">
        <f t="shared" si="79"/>
        <v>12128.957365284001</v>
      </c>
      <c r="I48" s="18">
        <f t="shared" si="80"/>
        <v>22496.261834820001</v>
      </c>
      <c r="J48" s="5">
        <f t="shared" si="81"/>
        <v>45509.916687999998</v>
      </c>
      <c r="K48" s="18">
        <f t="shared" si="82"/>
        <v>14331.614333059788</v>
      </c>
      <c r="L48" s="18">
        <f t="shared" si="83"/>
        <v>11388.442510930137</v>
      </c>
      <c r="M48" s="18">
        <f t="shared" si="84"/>
        <v>19789.859844010072</v>
      </c>
      <c r="N48" s="6"/>
      <c r="O48" s="21">
        <v>0</v>
      </c>
      <c r="P48" s="12">
        <f t="shared" si="85"/>
        <v>0</v>
      </c>
      <c r="Q48" s="12">
        <f t="shared" si="86"/>
        <v>0</v>
      </c>
      <c r="R48" s="12">
        <f t="shared" si="87"/>
        <v>0</v>
      </c>
      <c r="S48" s="6">
        <f>J48*2%</f>
        <v>910.19833375999997</v>
      </c>
      <c r="T48" s="12">
        <f t="shared" si="88"/>
        <v>286.63228666119574</v>
      </c>
      <c r="U48" s="12">
        <f t="shared" si="89"/>
        <v>227.76885021860278</v>
      </c>
      <c r="V48" s="12">
        <f t="shared" si="90"/>
        <v>395.79719688020145</v>
      </c>
      <c r="W48" s="6">
        <f t="shared" si="91"/>
        <v>910.19833375999997</v>
      </c>
      <c r="X48" s="12">
        <f t="shared" si="92"/>
        <v>286.63228666119574</v>
      </c>
      <c r="Y48" s="12">
        <f t="shared" si="93"/>
        <v>227.76885021860278</v>
      </c>
      <c r="Z48" s="12">
        <f t="shared" si="94"/>
        <v>395.79719688020145</v>
      </c>
      <c r="AA48" s="7">
        <f>J48-W48+B48</f>
        <v>75601.158354239989</v>
      </c>
      <c r="AB48" s="14">
        <f t="shared" si="95"/>
        <v>23807.704419534592</v>
      </c>
      <c r="AC48" s="14">
        <f t="shared" si="96"/>
        <v>18918.501907607533</v>
      </c>
      <c r="AD48" s="14">
        <f t="shared" si="97"/>
        <v>32874.952027097868</v>
      </c>
    </row>
    <row r="49" spans="1:45" x14ac:dyDescent="0.25">
      <c r="A49" s="4">
        <v>41548</v>
      </c>
      <c r="B49" s="10">
        <v>35105.58</v>
      </c>
      <c r="C49" s="12">
        <f t="shared" si="75"/>
        <v>11055.164898402001</v>
      </c>
      <c r="D49" s="12">
        <f t="shared" si="76"/>
        <v>8784.8519342220006</v>
      </c>
      <c r="E49" s="12">
        <f t="shared" si="77"/>
        <v>15265.563167376</v>
      </c>
      <c r="F49" s="19">
        <v>48049.21</v>
      </c>
      <c r="G49" s="18">
        <f t="shared" si="78"/>
        <v>13276.015942684</v>
      </c>
      <c r="H49" s="18">
        <f t="shared" si="79"/>
        <v>12180.791859786001</v>
      </c>
      <c r="I49" s="18">
        <f t="shared" si="80"/>
        <v>22592.402197530002</v>
      </c>
      <c r="J49" s="5">
        <f t="shared" si="81"/>
        <v>45704.408552000001</v>
      </c>
      <c r="K49" s="18">
        <f t="shared" si="82"/>
        <v>14392.86213548657</v>
      </c>
      <c r="L49" s="18">
        <f t="shared" si="83"/>
        <v>11437.112330020176</v>
      </c>
      <c r="M49" s="18">
        <f t="shared" si="84"/>
        <v>19874.434086493253</v>
      </c>
      <c r="N49" s="6"/>
      <c r="O49" s="21">
        <v>3334.36</v>
      </c>
      <c r="P49" s="12">
        <f t="shared" si="85"/>
        <v>1050.0296428840002</v>
      </c>
      <c r="Q49" s="12">
        <f t="shared" si="86"/>
        <v>834.39324732399996</v>
      </c>
      <c r="R49" s="12">
        <f t="shared" si="87"/>
        <v>1449.937109792</v>
      </c>
      <c r="S49" s="6">
        <f>J49*2%</f>
        <v>914.08817104000002</v>
      </c>
      <c r="T49" s="12">
        <f t="shared" si="88"/>
        <v>287.85724270973139</v>
      </c>
      <c r="U49" s="12">
        <f t="shared" si="89"/>
        <v>228.74224660040352</v>
      </c>
      <c r="V49" s="12">
        <f t="shared" si="90"/>
        <v>397.48868172986511</v>
      </c>
      <c r="W49" s="6">
        <f t="shared" si="91"/>
        <v>4248.4481710400005</v>
      </c>
      <c r="X49" s="12">
        <f t="shared" si="92"/>
        <v>1337.8868855937317</v>
      </c>
      <c r="Y49" s="12">
        <f t="shared" si="93"/>
        <v>1063.1354939244036</v>
      </c>
      <c r="Z49" s="12">
        <f t="shared" si="94"/>
        <v>1847.4257915218652</v>
      </c>
      <c r="AA49" s="7">
        <f>J49-W49+B49</f>
        <v>76561.54038096001</v>
      </c>
      <c r="AB49" s="14">
        <f t="shared" si="95"/>
        <v>24110.140148294842</v>
      </c>
      <c r="AC49" s="14">
        <f t="shared" si="96"/>
        <v>19158.828770317774</v>
      </c>
      <c r="AD49" s="14">
        <f t="shared" si="97"/>
        <v>33292.57146234739</v>
      </c>
    </row>
    <row r="50" spans="1:45" x14ac:dyDescent="0.25">
      <c r="A50" s="4">
        <v>41579</v>
      </c>
      <c r="B50" s="10">
        <v>27756.66</v>
      </c>
      <c r="C50" s="12">
        <f t="shared" si="75"/>
        <v>8740.9025382540003</v>
      </c>
      <c r="D50" s="12">
        <f t="shared" si="76"/>
        <v>6945.8515793939996</v>
      </c>
      <c r="E50" s="12">
        <f t="shared" si="77"/>
        <v>12069.905882351999</v>
      </c>
      <c r="F50" s="19">
        <v>48206.37</v>
      </c>
      <c r="G50" s="18">
        <f t="shared" si="78"/>
        <v>13319.439313548</v>
      </c>
      <c r="H50" s="18">
        <f t="shared" si="79"/>
        <v>12220.632957042002</v>
      </c>
      <c r="I50" s="18">
        <f t="shared" si="80"/>
        <v>22666.297729410002</v>
      </c>
      <c r="J50" s="5">
        <f t="shared" si="81"/>
        <v>45853.899144000003</v>
      </c>
      <c r="K50" s="18">
        <f t="shared" si="82"/>
        <v>14439.938501845416</v>
      </c>
      <c r="L50" s="18">
        <f t="shared" si="83"/>
        <v>11474.52099030379</v>
      </c>
      <c r="M50" s="18">
        <f t="shared" si="84"/>
        <v>19939.439651850797</v>
      </c>
      <c r="N50" s="6"/>
      <c r="O50" s="21">
        <v>2425</v>
      </c>
      <c r="P50" s="12">
        <f t="shared" si="85"/>
        <v>763.66135750000001</v>
      </c>
      <c r="Q50" s="12">
        <f t="shared" si="86"/>
        <v>606.8341825</v>
      </c>
      <c r="R50" s="12">
        <f t="shared" si="87"/>
        <v>1054.5044599999999</v>
      </c>
      <c r="S50" s="6">
        <f>J50*2%</f>
        <v>917.07798288000004</v>
      </c>
      <c r="T50" s="12">
        <f t="shared" si="88"/>
        <v>288.79877003690831</v>
      </c>
      <c r="U50" s="12">
        <f t="shared" si="89"/>
        <v>229.49041980607578</v>
      </c>
      <c r="V50" s="12">
        <f t="shared" si="90"/>
        <v>398.78879303701592</v>
      </c>
      <c r="W50" s="6">
        <f t="shared" si="91"/>
        <v>3342.07798288</v>
      </c>
      <c r="X50" s="12">
        <f t="shared" si="92"/>
        <v>1052.4601275369084</v>
      </c>
      <c r="Y50" s="12">
        <f t="shared" si="93"/>
        <v>836.3246023060758</v>
      </c>
      <c r="Z50" s="12">
        <f t="shared" si="94"/>
        <v>1453.293253037016</v>
      </c>
      <c r="AA50" s="7">
        <f>J50-W50+B50</f>
        <v>70268.481161119998</v>
      </c>
      <c r="AB50" s="14">
        <f t="shared" si="95"/>
        <v>22128.380912562505</v>
      </c>
      <c r="AC50" s="14">
        <f t="shared" si="96"/>
        <v>17584.047967391714</v>
      </c>
      <c r="AD50" s="14">
        <f t="shared" si="97"/>
        <v>30556.052281165779</v>
      </c>
    </row>
    <row r="51" spans="1:45" x14ac:dyDescent="0.25">
      <c r="A51" s="4">
        <v>41609</v>
      </c>
      <c r="B51" s="10">
        <v>39184.17</v>
      </c>
      <c r="C51" s="12">
        <f t="shared" si="75"/>
        <v>12339.561424623</v>
      </c>
      <c r="D51" s="12">
        <f t="shared" si="76"/>
        <v>9805.4819665529994</v>
      </c>
      <c r="E51" s="12">
        <f t="shared" si="77"/>
        <v>17039.126608823997</v>
      </c>
      <c r="F51" s="19">
        <v>48618.48</v>
      </c>
      <c r="G51" s="18">
        <f t="shared" si="78"/>
        <v>13433.305471392001</v>
      </c>
      <c r="H51" s="18">
        <f t="shared" si="79"/>
        <v>12325.105561968003</v>
      </c>
      <c r="I51" s="18">
        <f t="shared" si="80"/>
        <v>22860.068966640003</v>
      </c>
      <c r="J51" s="5">
        <f t="shared" si="81"/>
        <v>46245.898176000002</v>
      </c>
      <c r="K51" s="18">
        <f t="shared" si="82"/>
        <v>14563.383661810696</v>
      </c>
      <c r="L51" s="18">
        <f t="shared" si="83"/>
        <v>11572.615180870598</v>
      </c>
      <c r="M51" s="18">
        <f t="shared" si="84"/>
        <v>20109.899333318706</v>
      </c>
      <c r="N51" s="6"/>
      <c r="O51" s="21">
        <v>2472.1799999999998</v>
      </c>
      <c r="P51" s="12">
        <f t="shared" si="85"/>
        <v>778.51890094199996</v>
      </c>
      <c r="Q51" s="12">
        <f t="shared" si="86"/>
        <v>618.64054816199996</v>
      </c>
      <c r="R51" s="12">
        <f t="shared" si="87"/>
        <v>1075.0205508959998</v>
      </c>
      <c r="S51" s="6">
        <f>J51*2%</f>
        <v>924.91796352000006</v>
      </c>
      <c r="T51" s="12">
        <f t="shared" si="88"/>
        <v>291.26767323621391</v>
      </c>
      <c r="U51" s="12">
        <f t="shared" si="89"/>
        <v>231.45230361741199</v>
      </c>
      <c r="V51" s="12">
        <f t="shared" si="90"/>
        <v>402.19798666637416</v>
      </c>
      <c r="W51" s="6">
        <f t="shared" si="91"/>
        <v>3397.0979635200001</v>
      </c>
      <c r="X51" s="12">
        <f t="shared" si="92"/>
        <v>1069.7865741782141</v>
      </c>
      <c r="Y51" s="12">
        <f t="shared" si="93"/>
        <v>850.09285177941194</v>
      </c>
      <c r="Z51" s="12">
        <f t="shared" si="94"/>
        <v>1477.2185375623742</v>
      </c>
      <c r="AA51" s="7">
        <f>J51-W51+B51</f>
        <v>82032.970212479995</v>
      </c>
      <c r="AB51" s="14">
        <f t="shared" si="95"/>
        <v>25833.158512255482</v>
      </c>
      <c r="AC51" s="14">
        <f t="shared" si="96"/>
        <v>20528.004295644183</v>
      </c>
      <c r="AD51" s="14">
        <f t="shared" si="97"/>
        <v>35671.80740458033</v>
      </c>
    </row>
    <row r="52" spans="1:45" x14ac:dyDescent="0.25">
      <c r="A52" s="2" t="s">
        <v>4</v>
      </c>
      <c r="B52" s="2">
        <f>SUM(B40:B51)</f>
        <v>251058.29000000004</v>
      </c>
      <c r="C52" s="12">
        <f t="shared" si="75"/>
        <v>79061.243114651021</v>
      </c>
      <c r="D52" s="12">
        <f t="shared" si="76"/>
        <v>62825.052442061009</v>
      </c>
      <c r="E52" s="12">
        <f t="shared" si="77"/>
        <v>109171.99444328801</v>
      </c>
      <c r="F52" s="7">
        <f>SUM(F40:F51)</f>
        <v>504523.35</v>
      </c>
      <c r="G52" s="18">
        <v>139400</v>
      </c>
      <c r="H52" s="18">
        <v>127900</v>
      </c>
      <c r="I52" s="18">
        <v>237223.35</v>
      </c>
      <c r="J52" s="7">
        <f>SUM(J40:J51)</f>
        <v>479902.61052000005</v>
      </c>
      <c r="K52" s="18">
        <f t="shared" si="82"/>
        <v>151127.04289381322</v>
      </c>
      <c r="L52" s="18">
        <f t="shared" si="83"/>
        <v>120091.26116887428</v>
      </c>
      <c r="M52" s="18">
        <f t="shared" si="84"/>
        <v>208684.30645731254</v>
      </c>
      <c r="N52" s="6">
        <v>95.12</v>
      </c>
      <c r="O52" s="2">
        <f>SUM(O40:O51)</f>
        <v>91294.47</v>
      </c>
      <c r="P52" s="12">
        <f t="shared" si="85"/>
        <v>28749.715007193001</v>
      </c>
      <c r="Q52" s="12">
        <f t="shared" si="86"/>
        <v>22845.610337823</v>
      </c>
      <c r="R52" s="12">
        <f t="shared" si="87"/>
        <v>39699.144654983997</v>
      </c>
      <c r="S52" s="6">
        <f>SUM(S40:S51)</f>
        <v>9598.0522103999992</v>
      </c>
      <c r="T52" s="12">
        <f t="shared" si="88"/>
        <v>3022.5408578762635</v>
      </c>
      <c r="U52" s="12">
        <f t="shared" si="89"/>
        <v>2401.8252233774851</v>
      </c>
      <c r="V52" s="12">
        <f t="shared" si="90"/>
        <v>4173.6861291462501</v>
      </c>
      <c r="W52" s="6">
        <f t="shared" si="91"/>
        <v>100892.5222104</v>
      </c>
      <c r="X52" s="12">
        <f t="shared" si="92"/>
        <v>31772.255865069266</v>
      </c>
      <c r="Y52" s="12">
        <f t="shared" si="93"/>
        <v>25247.435561200484</v>
      </c>
      <c r="Z52" s="12">
        <f t="shared" si="94"/>
        <v>43872.830784130252</v>
      </c>
      <c r="AA52" s="7">
        <f>J52-W52+B52</f>
        <v>630068.37830960006</v>
      </c>
      <c r="AB52" s="14">
        <f t="shared" si="95"/>
        <v>198416.03014339495</v>
      </c>
      <c r="AC52" s="14">
        <f t="shared" si="96"/>
        <v>157668.87804973478</v>
      </c>
      <c r="AD52" s="14">
        <f t="shared" si="97"/>
        <v>273983.4701164703</v>
      </c>
    </row>
    <row r="56" spans="1:45" x14ac:dyDescent="0.25">
      <c r="J56" s="8"/>
      <c r="K56" s="8"/>
      <c r="L56" s="8"/>
      <c r="M56" s="8"/>
      <c r="AS56" s="8"/>
    </row>
  </sheetData>
  <pageMargins left="0.7" right="0.7" top="0.75" bottom="0.75" header="0.3" footer="0.3"/>
  <pageSetup paperSize="9" scale="64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2015-04-09T03:34:35Z</cp:lastPrinted>
  <dcterms:created xsi:type="dcterms:W3CDTF">2013-01-14T08:21:36Z</dcterms:created>
  <dcterms:modified xsi:type="dcterms:W3CDTF">2015-04-09T05:25:42Z</dcterms:modified>
</cp:coreProperties>
</file>