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6\"/>
    </mc:Choice>
  </mc:AlternateContent>
  <bookViews>
    <workbookView xWindow="480" yWindow="135" windowWidth="18195" windowHeight="11760"/>
  </bookViews>
  <sheets>
    <sheet name="2016" sheetId="4" r:id="rId1"/>
  </sheets>
  <calcPr calcId="152511" refMode="R1C1"/>
</workbook>
</file>

<file path=xl/calcChain.xml><?xml version="1.0" encoding="utf-8"?>
<calcChain xmlns="http://schemas.openxmlformats.org/spreadsheetml/2006/main">
  <c r="O16" i="4" l="1"/>
  <c r="O12" i="4"/>
  <c r="O15" i="4"/>
  <c r="O10" i="4"/>
  <c r="O6" i="4"/>
  <c r="O14" i="4"/>
  <c r="O11" i="4"/>
  <c r="O13" i="4"/>
  <c r="O8" i="4"/>
  <c r="O5" i="4"/>
  <c r="O9" i="4"/>
  <c r="C69" i="4"/>
  <c r="D69" i="4"/>
  <c r="E69" i="4"/>
  <c r="C58" i="4"/>
  <c r="D58" i="4"/>
  <c r="E58" i="4"/>
  <c r="C59" i="4"/>
  <c r="D59" i="4"/>
  <c r="E59" i="4"/>
  <c r="C60" i="4"/>
  <c r="D60" i="4"/>
  <c r="E60" i="4"/>
  <c r="C61" i="4"/>
  <c r="D61" i="4"/>
  <c r="E61" i="4"/>
  <c r="C62" i="4"/>
  <c r="D62" i="4"/>
  <c r="E62" i="4"/>
  <c r="C63" i="4"/>
  <c r="D63" i="4"/>
  <c r="E63" i="4"/>
  <c r="C64" i="4"/>
  <c r="D64" i="4"/>
  <c r="E64" i="4"/>
  <c r="C65" i="4"/>
  <c r="D65" i="4"/>
  <c r="E65" i="4"/>
  <c r="C66" i="4"/>
  <c r="D66" i="4"/>
  <c r="E66" i="4"/>
  <c r="C67" i="4"/>
  <c r="D67" i="4"/>
  <c r="E67" i="4"/>
  <c r="C68" i="4"/>
  <c r="D68" i="4"/>
  <c r="E68" i="4"/>
  <c r="E57" i="4"/>
  <c r="D57" i="4"/>
  <c r="C57" i="4"/>
  <c r="O51" i="4" l="1"/>
  <c r="O50" i="4"/>
  <c r="O47" i="4"/>
  <c r="O46" i="4"/>
  <c r="O45" i="4"/>
  <c r="O44" i="4"/>
  <c r="O43" i="4"/>
  <c r="O40" i="4"/>
  <c r="O48" i="4"/>
  <c r="O41" i="4"/>
  <c r="O42" i="4"/>
  <c r="J69" i="4" l="1"/>
  <c r="B69" i="4"/>
  <c r="P23" i="4" l="1"/>
  <c r="Q23" i="4"/>
  <c r="R23" i="4"/>
  <c r="T23" i="4"/>
  <c r="U23" i="4"/>
  <c r="V23" i="4"/>
  <c r="W23" i="4"/>
  <c r="Y23" i="4" s="1"/>
  <c r="X23" i="4"/>
  <c r="P24" i="4"/>
  <c r="Q24" i="4"/>
  <c r="R24" i="4"/>
  <c r="T24" i="4"/>
  <c r="U24" i="4"/>
  <c r="V24" i="4"/>
  <c r="W24" i="4"/>
  <c r="Y24" i="4" s="1"/>
  <c r="X24" i="4"/>
  <c r="P25" i="4"/>
  <c r="Q25" i="4"/>
  <c r="R25" i="4"/>
  <c r="T25" i="4"/>
  <c r="U25" i="4"/>
  <c r="V25" i="4"/>
  <c r="W25" i="4"/>
  <c r="Y25" i="4" s="1"/>
  <c r="X25" i="4"/>
  <c r="P26" i="4"/>
  <c r="Q26" i="4"/>
  <c r="R26" i="4"/>
  <c r="T26" i="4"/>
  <c r="U26" i="4"/>
  <c r="V26" i="4"/>
  <c r="W26" i="4"/>
  <c r="Y26" i="4" s="1"/>
  <c r="X26" i="4"/>
  <c r="P27" i="4"/>
  <c r="Q27" i="4"/>
  <c r="R27" i="4"/>
  <c r="T27" i="4"/>
  <c r="U27" i="4"/>
  <c r="V27" i="4"/>
  <c r="W27" i="4"/>
  <c r="Z27" i="4" s="1"/>
  <c r="X27" i="4"/>
  <c r="Y27" i="4"/>
  <c r="P28" i="4"/>
  <c r="Q28" i="4"/>
  <c r="R28" i="4"/>
  <c r="T28" i="4"/>
  <c r="U28" i="4"/>
  <c r="V28" i="4"/>
  <c r="W28" i="4"/>
  <c r="Y28" i="4" s="1"/>
  <c r="P29" i="4"/>
  <c r="Q29" i="4"/>
  <c r="R29" i="4"/>
  <c r="T29" i="4"/>
  <c r="U29" i="4"/>
  <c r="V29" i="4"/>
  <c r="W29" i="4"/>
  <c r="Y29" i="4" s="1"/>
  <c r="P30" i="4"/>
  <c r="Q30" i="4"/>
  <c r="R30" i="4"/>
  <c r="T30" i="4"/>
  <c r="U30" i="4"/>
  <c r="V30" i="4"/>
  <c r="W30" i="4"/>
  <c r="Y30" i="4" s="1"/>
  <c r="P31" i="4"/>
  <c r="Q31" i="4"/>
  <c r="R31" i="4"/>
  <c r="T31" i="4"/>
  <c r="U31" i="4"/>
  <c r="V31" i="4"/>
  <c r="W31" i="4"/>
  <c r="X31" i="4" s="1"/>
  <c r="P32" i="4"/>
  <c r="Q32" i="4"/>
  <c r="R32" i="4"/>
  <c r="T32" i="4"/>
  <c r="U32" i="4"/>
  <c r="V32" i="4"/>
  <c r="W32" i="4"/>
  <c r="Y32" i="4" s="1"/>
  <c r="X32" i="4"/>
  <c r="P33" i="4"/>
  <c r="Q33" i="4"/>
  <c r="R33" i="4"/>
  <c r="T33" i="4"/>
  <c r="U33" i="4"/>
  <c r="V33" i="4"/>
  <c r="W33" i="4"/>
  <c r="Y33" i="4" s="1"/>
  <c r="X33" i="4"/>
  <c r="P34" i="4"/>
  <c r="Q34" i="4"/>
  <c r="R34" i="4"/>
  <c r="T34" i="4"/>
  <c r="U34" i="4"/>
  <c r="V34" i="4"/>
  <c r="W34" i="4"/>
  <c r="Y34" i="4" s="1"/>
  <c r="X34" i="4"/>
  <c r="Z31" i="4" l="1"/>
  <c r="Y31" i="4"/>
  <c r="X30" i="4"/>
  <c r="X29" i="4"/>
  <c r="X28" i="4"/>
  <c r="Z33" i="4"/>
  <c r="Z29" i="4"/>
  <c r="Z25" i="4"/>
  <c r="Z23" i="4"/>
  <c r="Z34" i="4"/>
  <c r="Z32" i="4"/>
  <c r="Z30" i="4"/>
  <c r="Z28" i="4"/>
  <c r="Z26" i="4"/>
  <c r="Z24" i="4"/>
  <c r="AJ5" i="4" l="1"/>
  <c r="P58" i="4" l="1"/>
  <c r="Q58" i="4"/>
  <c r="R58" i="4"/>
  <c r="P59" i="4"/>
  <c r="Q59" i="4"/>
  <c r="R59" i="4"/>
  <c r="P60" i="4"/>
  <c r="Q60" i="4"/>
  <c r="R60" i="4"/>
  <c r="P61" i="4"/>
  <c r="Q61" i="4"/>
  <c r="R61" i="4"/>
  <c r="P62" i="4"/>
  <c r="Q62" i="4"/>
  <c r="R62" i="4"/>
  <c r="P63" i="4"/>
  <c r="Q63" i="4"/>
  <c r="R63" i="4"/>
  <c r="P64" i="4"/>
  <c r="Q64" i="4"/>
  <c r="R64" i="4"/>
  <c r="P65" i="4"/>
  <c r="Q65" i="4"/>
  <c r="R65" i="4"/>
  <c r="P66" i="4"/>
  <c r="Q66" i="4"/>
  <c r="R66" i="4"/>
  <c r="P67" i="4"/>
  <c r="Q67" i="4"/>
  <c r="R67" i="4"/>
  <c r="P68" i="4"/>
  <c r="Q68" i="4"/>
  <c r="R68" i="4"/>
  <c r="R57" i="4"/>
  <c r="Q57" i="4"/>
  <c r="P57" i="4"/>
  <c r="K58" i="4"/>
  <c r="L58" i="4"/>
  <c r="M58" i="4"/>
  <c r="K59" i="4"/>
  <c r="L59" i="4"/>
  <c r="M59" i="4"/>
  <c r="K60" i="4"/>
  <c r="L60" i="4"/>
  <c r="M60" i="4"/>
  <c r="K61" i="4"/>
  <c r="L61" i="4"/>
  <c r="M61" i="4"/>
  <c r="K62" i="4"/>
  <c r="L62" i="4"/>
  <c r="M62" i="4"/>
  <c r="K63" i="4"/>
  <c r="L63" i="4"/>
  <c r="M63" i="4"/>
  <c r="K64" i="4"/>
  <c r="L64" i="4"/>
  <c r="M64" i="4"/>
  <c r="K65" i="4"/>
  <c r="L65" i="4"/>
  <c r="M65" i="4"/>
  <c r="K66" i="4"/>
  <c r="L66" i="4"/>
  <c r="M66" i="4"/>
  <c r="K67" i="4"/>
  <c r="L67" i="4"/>
  <c r="M67" i="4"/>
  <c r="K68" i="4"/>
  <c r="L68" i="4"/>
  <c r="M68" i="4"/>
  <c r="M57" i="4"/>
  <c r="L57" i="4"/>
  <c r="K57" i="4"/>
  <c r="G58" i="4"/>
  <c r="H58" i="4"/>
  <c r="I58" i="4"/>
  <c r="G59" i="4"/>
  <c r="H59" i="4"/>
  <c r="I59" i="4"/>
  <c r="G60" i="4"/>
  <c r="H60" i="4"/>
  <c r="I60" i="4"/>
  <c r="G61" i="4"/>
  <c r="H61" i="4"/>
  <c r="I61" i="4"/>
  <c r="G62" i="4"/>
  <c r="H62" i="4"/>
  <c r="I62" i="4"/>
  <c r="G63" i="4"/>
  <c r="H63" i="4"/>
  <c r="I63" i="4"/>
  <c r="G64" i="4"/>
  <c r="H64" i="4"/>
  <c r="I64" i="4"/>
  <c r="G65" i="4"/>
  <c r="H65" i="4"/>
  <c r="I65" i="4"/>
  <c r="G66" i="4"/>
  <c r="H66" i="4"/>
  <c r="I66" i="4"/>
  <c r="G67" i="4"/>
  <c r="H67" i="4"/>
  <c r="I67" i="4"/>
  <c r="G68" i="4"/>
  <c r="H68" i="4"/>
  <c r="I68" i="4"/>
  <c r="I57" i="4"/>
  <c r="H57" i="4"/>
  <c r="G57" i="4"/>
  <c r="P41" i="4"/>
  <c r="Q41" i="4"/>
  <c r="R41" i="4"/>
  <c r="P42" i="4"/>
  <c r="Q42" i="4"/>
  <c r="R42" i="4"/>
  <c r="P43" i="4"/>
  <c r="Q43" i="4"/>
  <c r="R43" i="4"/>
  <c r="P44" i="4"/>
  <c r="Q44" i="4"/>
  <c r="R44" i="4"/>
  <c r="P45" i="4"/>
  <c r="Q45" i="4"/>
  <c r="R45" i="4"/>
  <c r="P46" i="4"/>
  <c r="Q46" i="4"/>
  <c r="R46" i="4"/>
  <c r="P47" i="4"/>
  <c r="Q47" i="4"/>
  <c r="R47" i="4"/>
  <c r="P48" i="4"/>
  <c r="Q48" i="4"/>
  <c r="R48" i="4"/>
  <c r="P49" i="4"/>
  <c r="Q49" i="4"/>
  <c r="R49" i="4"/>
  <c r="P50" i="4"/>
  <c r="Q50" i="4"/>
  <c r="R50" i="4"/>
  <c r="P51" i="4"/>
  <c r="Q51" i="4"/>
  <c r="R51" i="4"/>
  <c r="R40" i="4"/>
  <c r="Q40" i="4"/>
  <c r="P40" i="4"/>
  <c r="K41" i="4"/>
  <c r="L41" i="4"/>
  <c r="M41" i="4"/>
  <c r="K42" i="4"/>
  <c r="L42" i="4"/>
  <c r="M42" i="4"/>
  <c r="K43" i="4"/>
  <c r="L43" i="4"/>
  <c r="M43" i="4"/>
  <c r="K44" i="4"/>
  <c r="L44" i="4"/>
  <c r="M44" i="4"/>
  <c r="K45" i="4"/>
  <c r="L45" i="4"/>
  <c r="M45" i="4"/>
  <c r="K46" i="4"/>
  <c r="L46" i="4"/>
  <c r="M46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M40" i="4"/>
  <c r="L40" i="4"/>
  <c r="K40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G48" i="4"/>
  <c r="H48" i="4"/>
  <c r="I48" i="4"/>
  <c r="G49" i="4"/>
  <c r="H49" i="4"/>
  <c r="I49" i="4"/>
  <c r="G50" i="4"/>
  <c r="H50" i="4"/>
  <c r="I50" i="4"/>
  <c r="G51" i="4"/>
  <c r="H51" i="4"/>
  <c r="I51" i="4"/>
  <c r="I40" i="4"/>
  <c r="H40" i="4"/>
  <c r="G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40" i="4"/>
  <c r="D40" i="4"/>
  <c r="C40" i="4"/>
  <c r="AJ32" i="4"/>
  <c r="AK32" i="4"/>
  <c r="AL32" i="4"/>
  <c r="AJ33" i="4"/>
  <c r="AK33" i="4"/>
  <c r="AL33" i="4"/>
  <c r="AJ34" i="4"/>
  <c r="AK34" i="4"/>
  <c r="AL34" i="4"/>
  <c r="AL31" i="4"/>
  <c r="AK31" i="4"/>
  <c r="AJ31" i="4"/>
  <c r="AF25" i="4"/>
  <c r="AG25" i="4"/>
  <c r="AH25" i="4"/>
  <c r="AF26" i="4"/>
  <c r="AG26" i="4"/>
  <c r="AH26" i="4"/>
  <c r="AF27" i="4"/>
  <c r="AG27" i="4"/>
  <c r="AH27" i="4"/>
  <c r="AF28" i="4"/>
  <c r="AG28" i="4"/>
  <c r="AH28" i="4"/>
  <c r="AF29" i="4"/>
  <c r="AG29" i="4"/>
  <c r="AH29" i="4"/>
  <c r="AF30" i="4"/>
  <c r="AG30" i="4"/>
  <c r="AH30" i="4"/>
  <c r="AF31" i="4"/>
  <c r="AG31" i="4"/>
  <c r="AH31" i="4"/>
  <c r="AF32" i="4"/>
  <c r="AG32" i="4"/>
  <c r="AH32" i="4"/>
  <c r="AF33" i="4"/>
  <c r="AG33" i="4"/>
  <c r="AH33" i="4"/>
  <c r="AF34" i="4"/>
  <c r="AG34" i="4"/>
  <c r="AH34" i="4"/>
  <c r="AH24" i="4"/>
  <c r="AG24" i="4"/>
  <c r="AF24" i="4"/>
  <c r="AD24" i="4"/>
  <c r="AD25" i="4"/>
  <c r="AD26" i="4"/>
  <c r="AD27" i="4"/>
  <c r="AD28" i="4"/>
  <c r="AD29" i="4"/>
  <c r="AD30" i="4"/>
  <c r="AD31" i="4"/>
  <c r="AD32" i="4"/>
  <c r="AD33" i="4"/>
  <c r="AD34" i="4"/>
  <c r="AD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C23" i="4"/>
  <c r="AB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M23" i="4"/>
  <c r="L23" i="4"/>
  <c r="K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I23" i="4"/>
  <c r="H23" i="4"/>
  <c r="G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E23" i="4"/>
  <c r="D23" i="4"/>
  <c r="C23" i="4"/>
  <c r="AF6" i="4"/>
  <c r="AG6" i="4"/>
  <c r="AH6" i="4"/>
  <c r="AF7" i="4"/>
  <c r="AG7" i="4"/>
  <c r="AH7" i="4"/>
  <c r="AF8" i="4"/>
  <c r="AG8" i="4"/>
  <c r="AH8" i="4"/>
  <c r="AF9" i="4"/>
  <c r="AG9" i="4"/>
  <c r="AH9" i="4"/>
  <c r="AF10" i="4"/>
  <c r="AG10" i="4"/>
  <c r="AH10" i="4"/>
  <c r="AF11" i="4"/>
  <c r="AG11" i="4"/>
  <c r="AH11" i="4"/>
  <c r="AF12" i="4"/>
  <c r="AG12" i="4"/>
  <c r="AH12" i="4"/>
  <c r="AF13" i="4"/>
  <c r="AG13" i="4"/>
  <c r="AH13" i="4"/>
  <c r="AF14" i="4"/>
  <c r="AG14" i="4"/>
  <c r="AH14" i="4"/>
  <c r="AF15" i="4"/>
  <c r="AG15" i="4"/>
  <c r="AH15" i="4"/>
  <c r="AF16" i="4"/>
  <c r="AG16" i="4"/>
  <c r="AH16" i="4"/>
  <c r="AH5" i="4"/>
  <c r="AG5" i="4"/>
  <c r="AF5" i="4"/>
  <c r="AB6" i="4"/>
  <c r="AC6" i="4"/>
  <c r="AD6" i="4"/>
  <c r="AB7" i="4"/>
  <c r="AC7" i="4"/>
  <c r="AD7" i="4"/>
  <c r="AB8" i="4"/>
  <c r="AC8" i="4"/>
  <c r="AD8" i="4"/>
  <c r="AB9" i="4"/>
  <c r="AC9" i="4"/>
  <c r="AD9" i="4"/>
  <c r="AB10" i="4"/>
  <c r="AC10" i="4"/>
  <c r="AD10" i="4"/>
  <c r="AB11" i="4"/>
  <c r="AC11" i="4"/>
  <c r="AD11" i="4"/>
  <c r="AB12" i="4"/>
  <c r="AC12" i="4"/>
  <c r="AD12" i="4"/>
  <c r="AB13" i="4"/>
  <c r="AC13" i="4"/>
  <c r="AD13" i="4"/>
  <c r="AB14" i="4"/>
  <c r="AC14" i="4"/>
  <c r="AD14" i="4"/>
  <c r="AB15" i="4"/>
  <c r="AC15" i="4"/>
  <c r="AD15" i="4"/>
  <c r="AB16" i="4"/>
  <c r="AC16" i="4"/>
  <c r="AD16" i="4"/>
  <c r="AD5" i="4"/>
  <c r="AC5" i="4"/>
  <c r="AB5" i="4"/>
  <c r="X6" i="4"/>
  <c r="Y6" i="4"/>
  <c r="Z6" i="4"/>
  <c r="X7" i="4"/>
  <c r="Y7" i="4"/>
  <c r="Z7" i="4"/>
  <c r="X8" i="4"/>
  <c r="Y8" i="4"/>
  <c r="Z8" i="4"/>
  <c r="X9" i="4"/>
  <c r="Y9" i="4"/>
  <c r="Z9" i="4"/>
  <c r="X10" i="4"/>
  <c r="Y10" i="4"/>
  <c r="Z10" i="4"/>
  <c r="X11" i="4"/>
  <c r="Y11" i="4"/>
  <c r="Z11" i="4"/>
  <c r="X12" i="4"/>
  <c r="Y12" i="4"/>
  <c r="Z12" i="4"/>
  <c r="X13" i="4"/>
  <c r="Y13" i="4"/>
  <c r="Z13" i="4"/>
  <c r="X14" i="4"/>
  <c r="Y14" i="4"/>
  <c r="Z14" i="4"/>
  <c r="X15" i="4"/>
  <c r="Y15" i="4"/>
  <c r="Z15" i="4"/>
  <c r="X16" i="4"/>
  <c r="Y16" i="4"/>
  <c r="Z16" i="4"/>
  <c r="Z5" i="4"/>
  <c r="Y5" i="4"/>
  <c r="X5" i="4"/>
  <c r="T6" i="4"/>
  <c r="U6" i="4"/>
  <c r="V6" i="4"/>
  <c r="T7" i="4"/>
  <c r="U7" i="4"/>
  <c r="V7" i="4"/>
  <c r="T8" i="4"/>
  <c r="U8" i="4"/>
  <c r="V8" i="4"/>
  <c r="T9" i="4"/>
  <c r="U9" i="4"/>
  <c r="V9" i="4"/>
  <c r="T10" i="4"/>
  <c r="U10" i="4"/>
  <c r="V10" i="4"/>
  <c r="T11" i="4"/>
  <c r="U11" i="4"/>
  <c r="V11" i="4"/>
  <c r="T12" i="4"/>
  <c r="U12" i="4"/>
  <c r="V12" i="4"/>
  <c r="T13" i="4"/>
  <c r="U13" i="4"/>
  <c r="V13" i="4"/>
  <c r="T14" i="4"/>
  <c r="U14" i="4"/>
  <c r="V14" i="4"/>
  <c r="T15" i="4"/>
  <c r="U15" i="4"/>
  <c r="V15" i="4"/>
  <c r="T16" i="4"/>
  <c r="U16" i="4"/>
  <c r="V16" i="4"/>
  <c r="V5" i="4"/>
  <c r="U5" i="4"/>
  <c r="T5" i="4"/>
  <c r="P6" i="4"/>
  <c r="Q6" i="4"/>
  <c r="R6" i="4"/>
  <c r="P7" i="4"/>
  <c r="Q7" i="4"/>
  <c r="R7" i="4"/>
  <c r="P8" i="4"/>
  <c r="Q8" i="4"/>
  <c r="R8" i="4"/>
  <c r="P9" i="4"/>
  <c r="Q9" i="4"/>
  <c r="R9" i="4"/>
  <c r="P10" i="4"/>
  <c r="Q10" i="4"/>
  <c r="R10" i="4"/>
  <c r="P11" i="4"/>
  <c r="Q11" i="4"/>
  <c r="R11" i="4"/>
  <c r="P12" i="4"/>
  <c r="Q12" i="4"/>
  <c r="R12" i="4"/>
  <c r="P13" i="4"/>
  <c r="Q13" i="4"/>
  <c r="R13" i="4"/>
  <c r="P14" i="4"/>
  <c r="Q14" i="4"/>
  <c r="R14" i="4"/>
  <c r="P15" i="4"/>
  <c r="Q15" i="4"/>
  <c r="R15" i="4"/>
  <c r="P16" i="4"/>
  <c r="Q16" i="4"/>
  <c r="R16" i="4"/>
  <c r="R5" i="4"/>
  <c r="Q5" i="4"/>
  <c r="P5" i="4"/>
  <c r="M6" i="4"/>
  <c r="M7" i="4"/>
  <c r="M8" i="4"/>
  <c r="M9" i="4"/>
  <c r="M10" i="4"/>
  <c r="M11" i="4"/>
  <c r="M12" i="4"/>
  <c r="M13" i="4"/>
  <c r="M14" i="4"/>
  <c r="M15" i="4"/>
  <c r="M16" i="4"/>
  <c r="M5" i="4"/>
  <c r="L6" i="4"/>
  <c r="L7" i="4"/>
  <c r="L8" i="4"/>
  <c r="L9" i="4"/>
  <c r="L10" i="4"/>
  <c r="L11" i="4"/>
  <c r="L12" i="4"/>
  <c r="L13" i="4"/>
  <c r="L14" i="4"/>
  <c r="L15" i="4"/>
  <c r="L16" i="4"/>
  <c r="L5" i="4"/>
  <c r="K6" i="4"/>
  <c r="K7" i="4"/>
  <c r="K8" i="4"/>
  <c r="K9" i="4"/>
  <c r="K10" i="4"/>
  <c r="K11" i="4"/>
  <c r="K12" i="4"/>
  <c r="K13" i="4"/>
  <c r="K14" i="4"/>
  <c r="K15" i="4"/>
  <c r="K16" i="4"/>
  <c r="K5" i="4"/>
  <c r="E6" i="4"/>
  <c r="E7" i="4"/>
  <c r="E8" i="4"/>
  <c r="E9" i="4"/>
  <c r="E10" i="4"/>
  <c r="E11" i="4"/>
  <c r="E12" i="4"/>
  <c r="E13" i="4"/>
  <c r="E14" i="4"/>
  <c r="E15" i="4"/>
  <c r="E16" i="4"/>
  <c r="E5" i="4"/>
  <c r="D6" i="4"/>
  <c r="D7" i="4"/>
  <c r="D8" i="4"/>
  <c r="D9" i="4"/>
  <c r="D10" i="4"/>
  <c r="D11" i="4"/>
  <c r="D12" i="4"/>
  <c r="D13" i="4"/>
  <c r="D14" i="4"/>
  <c r="D15" i="4"/>
  <c r="D16" i="4"/>
  <c r="D5" i="4"/>
  <c r="C6" i="4"/>
  <c r="C7" i="4"/>
  <c r="C8" i="4"/>
  <c r="C9" i="4"/>
  <c r="C10" i="4"/>
  <c r="C11" i="4"/>
  <c r="C12" i="4"/>
  <c r="C13" i="4"/>
  <c r="C14" i="4"/>
  <c r="C15" i="4"/>
  <c r="C16" i="4"/>
  <c r="C5" i="4"/>
  <c r="I6" i="4"/>
  <c r="I7" i="4"/>
  <c r="I8" i="4"/>
  <c r="I9" i="4"/>
  <c r="I10" i="4"/>
  <c r="I11" i="4"/>
  <c r="I12" i="4"/>
  <c r="I13" i="4"/>
  <c r="I14" i="4"/>
  <c r="I15" i="4"/>
  <c r="I16" i="4"/>
  <c r="I5" i="4"/>
  <c r="H6" i="4"/>
  <c r="H7" i="4"/>
  <c r="H8" i="4"/>
  <c r="H9" i="4"/>
  <c r="H10" i="4"/>
  <c r="H11" i="4"/>
  <c r="H12" i="4"/>
  <c r="H13" i="4"/>
  <c r="H14" i="4"/>
  <c r="H15" i="4"/>
  <c r="H16" i="4"/>
  <c r="H5" i="4"/>
  <c r="G6" i="4"/>
  <c r="G7" i="4"/>
  <c r="G8" i="4"/>
  <c r="G9" i="4"/>
  <c r="G10" i="4"/>
  <c r="G11" i="4"/>
  <c r="G12" i="4"/>
  <c r="G13" i="4"/>
  <c r="G14" i="4"/>
  <c r="G15" i="4"/>
  <c r="G16" i="4"/>
  <c r="G5" i="4"/>
  <c r="AI35" i="4" l="1"/>
  <c r="AJ35" i="4" l="1"/>
  <c r="AK35" i="4"/>
  <c r="AL35" i="4"/>
  <c r="O69" i="4"/>
  <c r="F69" i="4"/>
  <c r="S68" i="4"/>
  <c r="S67" i="4"/>
  <c r="S66" i="4"/>
  <c r="S65" i="4"/>
  <c r="S64" i="4"/>
  <c r="S63" i="4"/>
  <c r="S62" i="4"/>
  <c r="S61" i="4"/>
  <c r="S60" i="4"/>
  <c r="S59" i="4"/>
  <c r="S58" i="4"/>
  <c r="B52" i="4"/>
  <c r="AE35" i="4"/>
  <c r="P69" i="4" l="1"/>
  <c r="Q69" i="4"/>
  <c r="R69" i="4"/>
  <c r="T58" i="4"/>
  <c r="W58" i="4"/>
  <c r="U58" i="4"/>
  <c r="V58" i="4"/>
  <c r="T62" i="4"/>
  <c r="W62" i="4"/>
  <c r="U62" i="4"/>
  <c r="V62" i="4"/>
  <c r="T66" i="4"/>
  <c r="W66" i="4"/>
  <c r="AA66" i="4" s="1"/>
  <c r="U66" i="4"/>
  <c r="V66" i="4"/>
  <c r="T59" i="4"/>
  <c r="U59" i="4"/>
  <c r="V59" i="4"/>
  <c r="W59" i="4"/>
  <c r="T63" i="4"/>
  <c r="U63" i="4"/>
  <c r="V63" i="4"/>
  <c r="W63" i="4"/>
  <c r="T67" i="4"/>
  <c r="U67" i="4"/>
  <c r="V67" i="4"/>
  <c r="W67" i="4"/>
  <c r="U60" i="4"/>
  <c r="V60" i="4"/>
  <c r="T60" i="4"/>
  <c r="W60" i="4"/>
  <c r="U64" i="4"/>
  <c r="V64" i="4"/>
  <c r="T64" i="4"/>
  <c r="W64" i="4"/>
  <c r="U68" i="4"/>
  <c r="V68" i="4"/>
  <c r="T68" i="4"/>
  <c r="W68" i="4"/>
  <c r="V61" i="4"/>
  <c r="W61" i="4"/>
  <c r="T61" i="4"/>
  <c r="U61" i="4"/>
  <c r="V65" i="4"/>
  <c r="W65" i="4"/>
  <c r="AA65" i="4" s="1"/>
  <c r="T65" i="4"/>
  <c r="U65" i="4"/>
  <c r="G69" i="4"/>
  <c r="H69" i="4"/>
  <c r="I69" i="4"/>
  <c r="E52" i="4"/>
  <c r="C52" i="4"/>
  <c r="D52" i="4"/>
  <c r="AF35" i="4"/>
  <c r="AG35" i="4"/>
  <c r="AH35" i="4"/>
  <c r="S57" i="4"/>
  <c r="AB66" i="4" l="1"/>
  <c r="AD66" i="4"/>
  <c r="AD65" i="4"/>
  <c r="AC65" i="4"/>
  <c r="X61" i="4"/>
  <c r="Y61" i="4"/>
  <c r="Z61" i="4"/>
  <c r="Z64" i="4"/>
  <c r="X64" i="4"/>
  <c r="Y64" i="4"/>
  <c r="AA64" i="4"/>
  <c r="Y59" i="4"/>
  <c r="Z59" i="4"/>
  <c r="X59" i="4"/>
  <c r="AA59" i="4"/>
  <c r="X62" i="4"/>
  <c r="Y62" i="4"/>
  <c r="Z62" i="4"/>
  <c r="Z60" i="4"/>
  <c r="X60" i="4"/>
  <c r="Y60" i="4"/>
  <c r="AA60" i="4"/>
  <c r="X58" i="4"/>
  <c r="Y58" i="4"/>
  <c r="Z58" i="4"/>
  <c r="AB65" i="4"/>
  <c r="AC66" i="4"/>
  <c r="AA61" i="4"/>
  <c r="Y67" i="4"/>
  <c r="Z67" i="4"/>
  <c r="X67" i="4"/>
  <c r="AA67" i="4"/>
  <c r="AA62" i="4"/>
  <c r="X65" i="4"/>
  <c r="Y65" i="4"/>
  <c r="Z65" i="4"/>
  <c r="Z68" i="4"/>
  <c r="X68" i="4"/>
  <c r="Y68" i="4"/>
  <c r="AA68" i="4"/>
  <c r="Y63" i="4"/>
  <c r="Z63" i="4"/>
  <c r="X63" i="4"/>
  <c r="AA63" i="4"/>
  <c r="X66" i="4"/>
  <c r="Y66" i="4"/>
  <c r="Z66" i="4"/>
  <c r="AA58" i="4"/>
  <c r="U57" i="4"/>
  <c r="W57" i="4"/>
  <c r="T57" i="4"/>
  <c r="V57" i="4"/>
  <c r="N69" i="4"/>
  <c r="M69" i="4"/>
  <c r="K69" i="4"/>
  <c r="L69" i="4"/>
  <c r="S69" i="4"/>
  <c r="AD58" i="4" l="1"/>
  <c r="AB58" i="4"/>
  <c r="AC58" i="4"/>
  <c r="AB63" i="4"/>
  <c r="AD63" i="4"/>
  <c r="AC63" i="4"/>
  <c r="AC68" i="4"/>
  <c r="AD68" i="4"/>
  <c r="AB68" i="4"/>
  <c r="AB67" i="4"/>
  <c r="AC67" i="4"/>
  <c r="AD67" i="4"/>
  <c r="AC61" i="4"/>
  <c r="AD61" i="4"/>
  <c r="AB61" i="4"/>
  <c r="AD59" i="4"/>
  <c r="AB59" i="4"/>
  <c r="AC59" i="4"/>
  <c r="AD64" i="4"/>
  <c r="AB64" i="4"/>
  <c r="AC64" i="4"/>
  <c r="AD60" i="4"/>
  <c r="AB60" i="4"/>
  <c r="AC60" i="4"/>
  <c r="AB62" i="4"/>
  <c r="AC62" i="4"/>
  <c r="AD62" i="4"/>
  <c r="T69" i="4"/>
  <c r="U69" i="4"/>
  <c r="V69" i="4"/>
  <c r="W69" i="4"/>
  <c r="Z57" i="4"/>
  <c r="Y57" i="4"/>
  <c r="X57" i="4"/>
  <c r="AA57" i="4"/>
  <c r="AD57" i="4" s="1"/>
  <c r="AA69" i="4"/>
  <c r="X69" i="4" l="1"/>
  <c r="Y69" i="4"/>
  <c r="Z69" i="4"/>
  <c r="AB57" i="4"/>
  <c r="AC57" i="4"/>
  <c r="AC69" i="4"/>
  <c r="AD69" i="4"/>
  <c r="AB69" i="4"/>
  <c r="S41" i="4"/>
  <c r="S42" i="4"/>
  <c r="S43" i="4"/>
  <c r="S44" i="4"/>
  <c r="S45" i="4"/>
  <c r="S46" i="4"/>
  <c r="S47" i="4"/>
  <c r="S48" i="4"/>
  <c r="S49" i="4"/>
  <c r="S50" i="4"/>
  <c r="S51" i="4"/>
  <c r="S40" i="4"/>
  <c r="AM31" i="4"/>
  <c r="AM32" i="4"/>
  <c r="AJ6" i="4"/>
  <c r="AJ7" i="4"/>
  <c r="AJ8" i="4"/>
  <c r="AJ9" i="4"/>
  <c r="AJ10" i="4"/>
  <c r="AJ11" i="4"/>
  <c r="AJ12" i="4"/>
  <c r="AJ13" i="4"/>
  <c r="AJ14" i="4"/>
  <c r="AJ15" i="4"/>
  <c r="AJ16" i="4"/>
  <c r="W40" i="4" l="1"/>
  <c r="U40" i="4"/>
  <c r="T40" i="4"/>
  <c r="V40" i="4"/>
  <c r="V44" i="4"/>
  <c r="T44" i="4"/>
  <c r="U44" i="4"/>
  <c r="W44" i="4"/>
  <c r="U47" i="4"/>
  <c r="V47" i="4"/>
  <c r="W47" i="4"/>
  <c r="T47" i="4"/>
  <c r="T50" i="4"/>
  <c r="V50" i="4"/>
  <c r="U50" i="4"/>
  <c r="W50" i="4"/>
  <c r="T46" i="4"/>
  <c r="U46" i="4"/>
  <c r="W46" i="4"/>
  <c r="V46" i="4"/>
  <c r="T42" i="4"/>
  <c r="U42" i="4"/>
  <c r="W42" i="4"/>
  <c r="V42" i="4"/>
  <c r="V48" i="4"/>
  <c r="T48" i="4"/>
  <c r="U48" i="4"/>
  <c r="W48" i="4"/>
  <c r="U51" i="4"/>
  <c r="W51" i="4"/>
  <c r="T51" i="4"/>
  <c r="V51" i="4"/>
  <c r="U43" i="4"/>
  <c r="W43" i="4"/>
  <c r="T43" i="4"/>
  <c r="V43" i="4"/>
  <c r="W49" i="4"/>
  <c r="T49" i="4"/>
  <c r="U49" i="4"/>
  <c r="V49" i="4"/>
  <c r="W45" i="4"/>
  <c r="U45" i="4"/>
  <c r="V45" i="4"/>
  <c r="T45" i="4"/>
  <c r="W41" i="4"/>
  <c r="U41" i="4"/>
  <c r="T41" i="4"/>
  <c r="V41" i="4"/>
  <c r="AO32" i="4"/>
  <c r="AP32" i="4"/>
  <c r="AN32" i="4"/>
  <c r="AN31" i="4"/>
  <c r="AO31" i="4"/>
  <c r="AP31" i="4"/>
  <c r="AK16" i="4"/>
  <c r="AL16" i="4"/>
  <c r="AM16" i="4"/>
  <c r="AK12" i="4"/>
  <c r="AL12" i="4"/>
  <c r="AM12" i="4"/>
  <c r="AK8" i="4"/>
  <c r="AL8" i="4"/>
  <c r="AM8" i="4"/>
  <c r="AL15" i="4"/>
  <c r="AM15" i="4"/>
  <c r="AK15" i="4"/>
  <c r="AK11" i="4"/>
  <c r="AM11" i="4"/>
  <c r="AL11" i="4"/>
  <c r="AK7" i="4"/>
  <c r="AL7" i="4"/>
  <c r="AM7" i="4"/>
  <c r="AM14" i="4"/>
  <c r="AK14" i="4"/>
  <c r="AL14" i="4"/>
  <c r="AM10" i="4"/>
  <c r="AK10" i="4"/>
  <c r="AL10" i="4"/>
  <c r="AM6" i="4"/>
  <c r="AL6" i="4"/>
  <c r="AK6" i="4"/>
  <c r="AO5" i="4"/>
  <c r="AS5" i="4" s="1"/>
  <c r="AK5" i="4"/>
  <c r="AM5" i="4"/>
  <c r="AL5" i="4"/>
  <c r="AL13" i="4"/>
  <c r="AM13" i="4"/>
  <c r="AK13" i="4"/>
  <c r="AL9" i="4"/>
  <c r="AM9" i="4"/>
  <c r="AK9" i="4"/>
  <c r="AM34" i="4"/>
  <c r="AM33" i="4"/>
  <c r="AM30" i="4"/>
  <c r="AM29" i="4"/>
  <c r="AM28" i="4"/>
  <c r="AM27" i="4"/>
  <c r="AM26" i="4"/>
  <c r="AM25" i="4"/>
  <c r="AM24" i="4"/>
  <c r="AM23" i="4"/>
  <c r="Z50" i="4" l="1"/>
  <c r="X50" i="4"/>
  <c r="Y50" i="4"/>
  <c r="Y44" i="4"/>
  <c r="Z44" i="4"/>
  <c r="X44" i="4"/>
  <c r="Y46" i="4"/>
  <c r="X46" i="4"/>
  <c r="Z46" i="4"/>
  <c r="X47" i="4"/>
  <c r="Y47" i="4"/>
  <c r="Z47" i="4"/>
  <c r="X43" i="4"/>
  <c r="Z43" i="4"/>
  <c r="Y43" i="4"/>
  <c r="X51" i="4"/>
  <c r="Z51" i="4"/>
  <c r="Y51" i="4"/>
  <c r="Y48" i="4"/>
  <c r="X48" i="4"/>
  <c r="Z48" i="4"/>
  <c r="Z42" i="4"/>
  <c r="X42" i="4"/>
  <c r="Y42" i="4"/>
  <c r="Z41" i="4"/>
  <c r="X41" i="4"/>
  <c r="Y41" i="4"/>
  <c r="Z45" i="4"/>
  <c r="Y45" i="4"/>
  <c r="X45" i="4"/>
  <c r="Z49" i="4"/>
  <c r="X49" i="4"/>
  <c r="Y49" i="4"/>
  <c r="X40" i="4"/>
  <c r="Y40" i="4"/>
  <c r="Z40" i="4"/>
  <c r="AP25" i="4"/>
  <c r="AN25" i="4"/>
  <c r="AO25" i="4"/>
  <c r="AP29" i="4"/>
  <c r="AN29" i="4"/>
  <c r="AO29" i="4"/>
  <c r="AN26" i="4"/>
  <c r="AO26" i="4"/>
  <c r="AP26" i="4"/>
  <c r="AN30" i="4"/>
  <c r="AO30" i="4"/>
  <c r="AP30" i="4"/>
  <c r="AO23" i="4"/>
  <c r="AN23" i="4"/>
  <c r="AP23" i="4"/>
  <c r="AN27" i="4"/>
  <c r="AO27" i="4"/>
  <c r="AP27" i="4"/>
  <c r="AP33" i="4"/>
  <c r="AN33" i="4"/>
  <c r="AO33" i="4"/>
  <c r="AO24" i="4"/>
  <c r="AP24" i="4"/>
  <c r="AN24" i="4"/>
  <c r="AO28" i="4"/>
  <c r="AP28" i="4"/>
  <c r="AN28" i="4"/>
  <c r="AN34" i="4"/>
  <c r="AO34" i="4"/>
  <c r="AP34" i="4"/>
  <c r="AQ23" i="4"/>
  <c r="AQ5" i="4"/>
  <c r="AP5" i="4"/>
  <c r="AR5" i="4"/>
  <c r="E35" i="4"/>
  <c r="C35" i="4"/>
  <c r="D35" i="4"/>
  <c r="O52" i="4"/>
  <c r="J52" i="4"/>
  <c r="F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5" i="4"/>
  <c r="S35" i="4"/>
  <c r="O35" i="4"/>
  <c r="J35" i="4"/>
  <c r="F35" i="4"/>
  <c r="AQ34" i="4"/>
  <c r="AQ33" i="4"/>
  <c r="AQ32" i="4"/>
  <c r="AQ31" i="4"/>
  <c r="AQ30" i="4"/>
  <c r="AQ29" i="4"/>
  <c r="AQ28" i="4"/>
  <c r="AQ27" i="4"/>
  <c r="AQ26" i="4"/>
  <c r="AQ25" i="4"/>
  <c r="AQ24" i="4"/>
  <c r="AN17" i="4"/>
  <c r="AE17" i="4"/>
  <c r="AA17" i="4"/>
  <c r="W17" i="4"/>
  <c r="O17" i="4"/>
  <c r="J17" i="4"/>
  <c r="F17" i="4"/>
  <c r="B17" i="4"/>
  <c r="AO16" i="4"/>
  <c r="AO15" i="4"/>
  <c r="AO14" i="4"/>
  <c r="AO13" i="4"/>
  <c r="AO12" i="4"/>
  <c r="AO11" i="4"/>
  <c r="AO10" i="4"/>
  <c r="AO9" i="4"/>
  <c r="AO8" i="4"/>
  <c r="AO7" i="4"/>
  <c r="AO6" i="4"/>
  <c r="S17" i="4"/>
  <c r="AM35" i="4" l="1"/>
  <c r="AD42" i="4"/>
  <c r="AB42" i="4"/>
  <c r="AC42" i="4"/>
  <c r="R52" i="4"/>
  <c r="P52" i="4"/>
  <c r="Q52" i="4"/>
  <c r="AB47" i="4"/>
  <c r="AC47" i="4"/>
  <c r="AD47" i="4"/>
  <c r="AC40" i="4"/>
  <c r="AB40" i="4"/>
  <c r="AD40" i="4"/>
  <c r="AB44" i="4"/>
  <c r="AC44" i="4"/>
  <c r="AD44" i="4"/>
  <c r="AB48" i="4"/>
  <c r="AD48" i="4"/>
  <c r="AC48" i="4"/>
  <c r="H52" i="4"/>
  <c r="G52" i="4"/>
  <c r="I52" i="4"/>
  <c r="AD46" i="4"/>
  <c r="AB46" i="4"/>
  <c r="AC46" i="4"/>
  <c r="AD50" i="4"/>
  <c r="AB50" i="4"/>
  <c r="AC50" i="4"/>
  <c r="AC43" i="4"/>
  <c r="AD43" i="4"/>
  <c r="AB43" i="4"/>
  <c r="AC51" i="4"/>
  <c r="AD51" i="4"/>
  <c r="AB51" i="4"/>
  <c r="AC41" i="4"/>
  <c r="AB41" i="4"/>
  <c r="AD41" i="4"/>
  <c r="AC45" i="4"/>
  <c r="AB45" i="4"/>
  <c r="AD45" i="4"/>
  <c r="AC49" i="4"/>
  <c r="AB49" i="4"/>
  <c r="AD49" i="4"/>
  <c r="K52" i="4"/>
  <c r="L52" i="4"/>
  <c r="M52" i="4"/>
  <c r="AR27" i="4"/>
  <c r="AS27" i="4"/>
  <c r="AT27" i="4"/>
  <c r="AR31" i="4"/>
  <c r="AS31" i="4"/>
  <c r="AT31" i="4"/>
  <c r="AT23" i="4"/>
  <c r="AS23" i="4"/>
  <c r="AR23" i="4"/>
  <c r="AR24" i="4"/>
  <c r="AS24" i="4"/>
  <c r="AT24" i="4"/>
  <c r="AR28" i="4"/>
  <c r="AS28" i="4"/>
  <c r="AT28" i="4"/>
  <c r="AR32" i="4"/>
  <c r="AS32" i="4"/>
  <c r="AT32" i="4"/>
  <c r="AS25" i="4"/>
  <c r="AT25" i="4"/>
  <c r="AR25" i="4"/>
  <c r="AS29" i="4"/>
  <c r="AT29" i="4"/>
  <c r="AR29" i="4"/>
  <c r="AS33" i="4"/>
  <c r="AT33" i="4"/>
  <c r="AR33" i="4"/>
  <c r="AT26" i="4"/>
  <c r="AR26" i="4"/>
  <c r="AS26" i="4"/>
  <c r="AT30" i="4"/>
  <c r="AR30" i="4"/>
  <c r="AS30" i="4"/>
  <c r="AT34" i="4"/>
  <c r="AR34" i="4"/>
  <c r="AS34" i="4"/>
  <c r="AS8" i="4"/>
  <c r="AP8" i="4"/>
  <c r="AR8" i="4"/>
  <c r="AQ8" i="4"/>
  <c r="AS12" i="4"/>
  <c r="AP12" i="4"/>
  <c r="AQ12" i="4"/>
  <c r="AR12" i="4"/>
  <c r="AS16" i="4"/>
  <c r="AP16" i="4"/>
  <c r="AR16" i="4"/>
  <c r="AQ16" i="4"/>
  <c r="R17" i="4"/>
  <c r="P17" i="4"/>
  <c r="Q17" i="4"/>
  <c r="H35" i="4"/>
  <c r="I35" i="4"/>
  <c r="G35" i="4"/>
  <c r="AD35" i="4"/>
  <c r="AB35" i="4"/>
  <c r="AC35" i="4"/>
  <c r="U17" i="4"/>
  <c r="T17" i="4"/>
  <c r="V17" i="4"/>
  <c r="AS9" i="4"/>
  <c r="AP9" i="4"/>
  <c r="AQ9" i="4"/>
  <c r="AR9" i="4"/>
  <c r="AS13" i="4"/>
  <c r="AP13" i="4"/>
  <c r="AQ13" i="4"/>
  <c r="AR13" i="4"/>
  <c r="X17" i="4"/>
  <c r="Y17" i="4"/>
  <c r="Z17" i="4"/>
  <c r="K35" i="4"/>
  <c r="L35" i="4"/>
  <c r="M35" i="4"/>
  <c r="AS6" i="4"/>
  <c r="AQ6" i="4"/>
  <c r="AR6" i="4"/>
  <c r="AP6" i="4"/>
  <c r="AS10" i="4"/>
  <c r="AQ10" i="4"/>
  <c r="AR10" i="4"/>
  <c r="AP10" i="4"/>
  <c r="AS14" i="4"/>
  <c r="AQ14" i="4"/>
  <c r="AR14" i="4"/>
  <c r="AP14" i="4"/>
  <c r="AC17" i="4"/>
  <c r="AD17" i="4"/>
  <c r="AB17" i="4"/>
  <c r="P35" i="4"/>
  <c r="Q35" i="4"/>
  <c r="R35" i="4"/>
  <c r="AS7" i="4"/>
  <c r="AR7" i="4"/>
  <c r="AP7" i="4"/>
  <c r="AQ7" i="4"/>
  <c r="AS11" i="4"/>
  <c r="AR11" i="4"/>
  <c r="AQ11" i="4"/>
  <c r="AP11" i="4"/>
  <c r="AS15" i="4"/>
  <c r="AR15" i="4"/>
  <c r="AP15" i="4"/>
  <c r="AQ15" i="4"/>
  <c r="AH17" i="4"/>
  <c r="AF17" i="4"/>
  <c r="AG17" i="4"/>
  <c r="V35" i="4"/>
  <c r="T35" i="4"/>
  <c r="U35" i="4"/>
  <c r="K17" i="4"/>
  <c r="M17" i="4"/>
  <c r="L17" i="4"/>
  <c r="E17" i="4"/>
  <c r="D17" i="4"/>
  <c r="C17" i="4"/>
  <c r="S52" i="4"/>
  <c r="W35" i="4"/>
  <c r="N17" i="4"/>
  <c r="AJ17" i="4"/>
  <c r="AO17" i="4" s="1"/>
  <c r="N35" i="4"/>
  <c r="N52" i="4"/>
  <c r="V52" i="4" l="1"/>
  <c r="T52" i="4"/>
  <c r="U52" i="4"/>
  <c r="W52" i="4"/>
  <c r="AN35" i="4"/>
  <c r="AO35" i="4"/>
  <c r="AP35" i="4"/>
  <c r="AS17" i="4"/>
  <c r="AL17" i="4"/>
  <c r="AK17" i="4"/>
  <c r="AM17" i="4"/>
  <c r="AU15" i="4"/>
  <c r="AV15" i="4"/>
  <c r="AT15" i="4"/>
  <c r="AU11" i="4"/>
  <c r="AV11" i="4"/>
  <c r="AT11" i="4"/>
  <c r="AU7" i="4"/>
  <c r="AV7" i="4"/>
  <c r="AT7" i="4"/>
  <c r="AT13" i="4"/>
  <c r="AV13" i="4"/>
  <c r="AU13" i="4"/>
  <c r="AT9" i="4"/>
  <c r="AU9" i="4"/>
  <c r="AV9" i="4"/>
  <c r="AV16" i="4"/>
  <c r="AU16" i="4"/>
  <c r="AT16" i="4"/>
  <c r="AV12" i="4"/>
  <c r="AT12" i="4"/>
  <c r="AU12" i="4"/>
  <c r="AV8" i="4"/>
  <c r="AU8" i="4"/>
  <c r="AT8" i="4"/>
  <c r="AV5" i="4"/>
  <c r="AU5" i="4"/>
  <c r="AT5" i="4"/>
  <c r="AT14" i="4"/>
  <c r="AU14" i="4"/>
  <c r="AV14" i="4"/>
  <c r="AT10" i="4"/>
  <c r="AU10" i="4"/>
  <c r="AV10" i="4"/>
  <c r="AT6" i="4"/>
  <c r="AU6" i="4"/>
  <c r="AV6" i="4"/>
  <c r="AQ35" i="4"/>
  <c r="Y35" i="4"/>
  <c r="Z35" i="4"/>
  <c r="X35" i="4"/>
  <c r="Y52" i="4" l="1"/>
  <c r="Z52" i="4"/>
  <c r="X52" i="4"/>
  <c r="AA52" i="4"/>
  <c r="AR35" i="4"/>
  <c r="AS35" i="4"/>
  <c r="AT35" i="4"/>
  <c r="AT17" i="4"/>
  <c r="AU17" i="4"/>
  <c r="AV17" i="4"/>
  <c r="AP17" i="4"/>
  <c r="AQ17" i="4"/>
  <c r="AR17" i="4"/>
  <c r="AB52" i="4" l="1"/>
  <c r="AC52" i="4"/>
  <c r="AD52" i="4"/>
</calcChain>
</file>

<file path=xl/sharedStrings.xml><?xml version="1.0" encoding="utf-8"?>
<sst xmlns="http://schemas.openxmlformats.org/spreadsheetml/2006/main" count="165" uniqueCount="39">
  <si>
    <t>начисленно</t>
  </si>
  <si>
    <t>оплачено</t>
  </si>
  <si>
    <t>% поступления</t>
  </si>
  <si>
    <t>услуги по сбору денежных средств</t>
  </si>
  <si>
    <t>итого</t>
  </si>
  <si>
    <t>статья "Общедомовое обслуживание"</t>
  </si>
  <si>
    <t>Остаток (+), Перерасход (-)полученных средств на конец периода</t>
  </si>
  <si>
    <t>итого расход</t>
  </si>
  <si>
    <t>статья "Текущий ремонт"</t>
  </si>
  <si>
    <t>приобретение материалов</t>
  </si>
  <si>
    <t>ООО "Восточно-сибирская инвестиционно-строительная компания</t>
  </si>
  <si>
    <t>период</t>
  </si>
  <si>
    <t>Остаток (+), Перерасход (-)полученных средств на начало периода</t>
  </si>
  <si>
    <t>Прочие</t>
  </si>
  <si>
    <t>доп.раб</t>
  </si>
  <si>
    <t>статья "Содержание жилья, охрана общего имущетсва"</t>
  </si>
  <si>
    <t>г. Иркутск, ул. Трудовая 56/3, 56/2 56/1</t>
  </si>
  <si>
    <t>статья "Домофон"</t>
  </si>
  <si>
    <t>Итого</t>
  </si>
  <si>
    <t>обслуживание системы "Домофон</t>
  </si>
  <si>
    <t>итого начисленно</t>
  </si>
  <si>
    <t xml:space="preserve"> в т.ч. 56/1</t>
  </si>
  <si>
    <t xml:space="preserve"> в т.ч.56/2</t>
  </si>
  <si>
    <t xml:space="preserve"> в т.ч.56/3</t>
  </si>
  <si>
    <t>Итого остаток (+), Перерасход (-)полученных средств на начало периода</t>
  </si>
  <si>
    <t>Итого оплачено</t>
  </si>
  <si>
    <t>Итого услуги по управлению многоквартирным домом</t>
  </si>
  <si>
    <t>Итого налоги</t>
  </si>
  <si>
    <t>Итого аренда</t>
  </si>
  <si>
    <t>Итого вывоз ТБО</t>
  </si>
  <si>
    <t>Итого обслуживание лифтов</t>
  </si>
  <si>
    <t>Итого услуги по сбору денежных средств</t>
  </si>
  <si>
    <t>Итого расход</t>
  </si>
  <si>
    <t>Итого обслуживание приборов учета</t>
  </si>
  <si>
    <t>Итого начисленно</t>
  </si>
  <si>
    <t>Итого содержание придомовой территории</t>
  </si>
  <si>
    <t>Итого освещение мест общего пользования</t>
  </si>
  <si>
    <t>Итого ремонт кабельной линии</t>
  </si>
  <si>
    <t>Отчет о поступлении и использовании средств по содержанию и ремонту многоквартирного дома за январь-декабрь 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</si>
</sst>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Calibri"/>
      <family val="2"/>
      <charset val="204"/>
      <scheme val="minor"/>
    </font>
    <font>
      <sz val="12"/>
      <name val="Arial"/>
      <family val="2"/>
    </font>
    <font>
      <i/>
      <sz val="10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i/>
      <sz val="9"/>
      <name val="Arial"/>
      <family val="2"/>
    </font>
    <font>
      <i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17" fontId="2" fillId="0" borderId="1" xfId="0" applyNumberFormat="1" applyFont="1" applyFill="1" applyBorder="1"/>
    <xf numFmtId="2" fontId="2" fillId="0" borderId="1" xfId="0" applyNumberFormat="1" applyFont="1" applyFill="1" applyBorder="1"/>
    <xf numFmtId="4" fontId="2" fillId="0" borderId="1" xfId="0" applyNumberFormat="1" applyFont="1" applyFill="1" applyBorder="1"/>
    <xf numFmtId="4" fontId="2" fillId="0" borderId="0" xfId="0" applyNumberFormat="1" applyFont="1" applyFill="1"/>
    <xf numFmtId="17" fontId="2" fillId="0" borderId="0" xfId="0" applyNumberFormat="1" applyFont="1" applyFill="1"/>
    <xf numFmtId="0" fontId="4" fillId="0" borderId="1" xfId="0" applyFont="1" applyFill="1" applyBorder="1" applyAlignment="1">
      <alignment wrapText="1"/>
    </xf>
    <xf numFmtId="2" fontId="4" fillId="0" borderId="1" xfId="0" applyNumberFormat="1" applyFont="1" applyFill="1" applyBorder="1"/>
    <xf numFmtId="0" fontId="5" fillId="0" borderId="1" xfId="0" applyFont="1" applyFill="1" applyBorder="1" applyAlignment="1">
      <alignment wrapText="1"/>
    </xf>
    <xf numFmtId="4" fontId="6" fillId="0" borderId="1" xfId="1" applyNumberFormat="1" applyFont="1" applyFill="1" applyBorder="1" applyAlignment="1">
      <alignment horizontal="right" vertical="top"/>
    </xf>
    <xf numFmtId="0" fontId="5" fillId="0" borderId="1" xfId="0" applyFont="1" applyFill="1" applyBorder="1"/>
    <xf numFmtId="0" fontId="4" fillId="0" borderId="1" xfId="0" applyFont="1" applyFill="1" applyBorder="1"/>
    <xf numFmtId="4" fontId="7" fillId="0" borderId="1" xfId="1" applyNumberFormat="1" applyFont="1" applyFill="1" applyBorder="1" applyAlignment="1">
      <alignment horizontal="right" vertical="top"/>
    </xf>
    <xf numFmtId="2" fontId="8" fillId="0" borderId="1" xfId="0" applyNumberFormat="1" applyFont="1" applyFill="1" applyBorder="1"/>
    <xf numFmtId="0" fontId="8" fillId="0" borderId="1" xfId="0" applyFont="1" applyFill="1" applyBorder="1"/>
    <xf numFmtId="4" fontId="4" fillId="0" borderId="1" xfId="1" applyNumberFormat="1" applyFont="1" applyFill="1" applyBorder="1" applyAlignment="1">
      <alignment horizontal="right" vertical="top"/>
    </xf>
    <xf numFmtId="4" fontId="3" fillId="0" borderId="1" xfId="1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/>
    <xf numFmtId="0" fontId="0" fillId="0" borderId="1" xfId="0" applyFill="1" applyBorder="1"/>
    <xf numFmtId="4" fontId="2" fillId="0" borderId="0" xfId="0" applyNumberFormat="1" applyFont="1" applyFill="1" applyAlignment="1"/>
    <xf numFmtId="4" fontId="9" fillId="0" borderId="1" xfId="0" applyNumberFormat="1" applyFont="1" applyFill="1" applyBorder="1"/>
    <xf numFmtId="0" fontId="2" fillId="0" borderId="1" xfId="0" applyNumberFormat="1" applyFont="1" applyFill="1" applyBorder="1"/>
    <xf numFmtId="0" fontId="0" fillId="0" borderId="0" xfId="0" applyFill="1" applyAlignment="1"/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71"/>
  <sheetViews>
    <sheetView tabSelected="1" view="pageBreakPreview" zoomScale="60" zoomScaleNormal="100" workbookViewId="0">
      <selection activeCell="AS17" sqref="AS17"/>
    </sheetView>
  </sheetViews>
  <sheetFormatPr defaultColWidth="13.42578125" defaultRowHeight="15.75" x14ac:dyDescent="0.25"/>
  <cols>
    <col min="1" max="1" width="10" style="1" customWidth="1"/>
    <col min="2" max="2" width="13.42578125" style="1"/>
    <col min="3" max="3" width="11.28515625" style="1" customWidth="1"/>
    <col min="4" max="4" width="11.42578125" style="1" customWidth="1"/>
    <col min="5" max="5" width="10.7109375" style="1" customWidth="1"/>
    <col min="6" max="6" width="13.42578125" style="1"/>
    <col min="7" max="8" width="11.140625" style="1" customWidth="1"/>
    <col min="9" max="9" width="11.7109375" style="1" customWidth="1"/>
    <col min="10" max="10" width="14.7109375" style="1" bestFit="1" customWidth="1"/>
    <col min="11" max="11" width="12.42578125" style="1" customWidth="1"/>
    <col min="12" max="12" width="12.140625" style="1" customWidth="1"/>
    <col min="13" max="13" width="13.140625" style="1" customWidth="1"/>
    <col min="14" max="14" width="8.85546875" style="1" customWidth="1"/>
    <col min="15" max="15" width="11.7109375" style="1" customWidth="1"/>
    <col min="16" max="16" width="10.85546875" style="1" customWidth="1"/>
    <col min="17" max="17" width="10.42578125" style="1" customWidth="1"/>
    <col min="18" max="18" width="11.42578125" style="1" customWidth="1"/>
    <col min="19" max="19" width="13.42578125" style="1"/>
    <col min="20" max="20" width="10.42578125" style="1" customWidth="1"/>
    <col min="21" max="21" width="11.140625" style="1" customWidth="1"/>
    <col min="22" max="22" width="11.28515625" style="1" customWidth="1"/>
    <col min="23" max="23" width="11" style="1" customWidth="1"/>
    <col min="24" max="24" width="10.28515625" style="1" customWidth="1"/>
    <col min="25" max="25" width="10.42578125" style="1" customWidth="1"/>
    <col min="26" max="26" width="9.42578125" style="1" customWidth="1"/>
    <col min="27" max="27" width="14" style="1" customWidth="1"/>
    <col min="28" max="28" width="9.28515625" style="1" customWidth="1"/>
    <col min="29" max="29" width="8.5703125" style="1" customWidth="1"/>
    <col min="30" max="30" width="10.140625" style="1" customWidth="1"/>
    <col min="31" max="31" width="8.28515625" style="1" customWidth="1"/>
    <col min="32" max="32" width="10.140625" style="1" customWidth="1"/>
    <col min="33" max="33" width="11.140625" style="1" customWidth="1"/>
    <col min="34" max="34" width="10.5703125" style="1" customWidth="1"/>
    <col min="35" max="35" width="13.42578125" style="1"/>
    <col min="36" max="36" width="11.7109375" style="1" customWidth="1"/>
    <col min="37" max="37" width="10.140625" style="1" customWidth="1"/>
    <col min="38" max="38" width="11.140625" style="1" customWidth="1"/>
    <col min="39" max="39" width="10.42578125" style="1" customWidth="1"/>
    <col min="40" max="40" width="11.5703125" style="1" customWidth="1"/>
    <col min="41" max="41" width="13.42578125" style="1"/>
    <col min="42" max="42" width="11.42578125" style="1" customWidth="1"/>
    <col min="43" max="43" width="11.7109375" style="1" customWidth="1"/>
    <col min="44" max="44" width="11.85546875" style="1" customWidth="1"/>
    <col min="45" max="45" width="14" style="1" customWidth="1"/>
    <col min="46" max="46" width="13" style="1" customWidth="1"/>
    <col min="47" max="47" width="12.7109375" style="1" customWidth="1"/>
    <col min="48" max="48" width="13" style="1" customWidth="1"/>
    <col min="49" max="16384" width="13.42578125" style="1"/>
  </cols>
  <sheetData>
    <row r="1" spans="1:49" x14ac:dyDescent="0.25">
      <c r="F1" s="1" t="s">
        <v>38</v>
      </c>
    </row>
    <row r="2" spans="1:49" x14ac:dyDescent="0.25">
      <c r="A2" s="1" t="s">
        <v>16</v>
      </c>
      <c r="N2" s="1" t="s">
        <v>10</v>
      </c>
    </row>
    <row r="3" spans="1:49" x14ac:dyDescent="0.25">
      <c r="S3" s="1" t="s">
        <v>15</v>
      </c>
    </row>
    <row r="4" spans="1:49" ht="143.25" customHeight="1" x14ac:dyDescent="0.25">
      <c r="A4" s="2" t="s">
        <v>11</v>
      </c>
      <c r="B4" s="3" t="s">
        <v>24</v>
      </c>
      <c r="C4" s="9" t="s">
        <v>21</v>
      </c>
      <c r="D4" s="9" t="s">
        <v>22</v>
      </c>
      <c r="E4" s="9" t="s">
        <v>23</v>
      </c>
      <c r="F4" s="3" t="s">
        <v>20</v>
      </c>
      <c r="G4" s="11" t="s">
        <v>21</v>
      </c>
      <c r="H4" s="11" t="s">
        <v>22</v>
      </c>
      <c r="I4" s="11" t="s">
        <v>23</v>
      </c>
      <c r="J4" s="3" t="s">
        <v>25</v>
      </c>
      <c r="K4" s="9" t="s">
        <v>21</v>
      </c>
      <c r="L4" s="9" t="s">
        <v>22</v>
      </c>
      <c r="M4" s="9" t="s">
        <v>23</v>
      </c>
      <c r="N4" s="3" t="s">
        <v>2</v>
      </c>
      <c r="O4" s="3" t="s">
        <v>26</v>
      </c>
      <c r="P4" s="9" t="s">
        <v>21</v>
      </c>
      <c r="Q4" s="9" t="s">
        <v>22</v>
      </c>
      <c r="R4" s="9" t="s">
        <v>23</v>
      </c>
      <c r="S4" s="3" t="s">
        <v>27</v>
      </c>
      <c r="T4" s="9" t="s">
        <v>21</v>
      </c>
      <c r="U4" s="9" t="s">
        <v>22</v>
      </c>
      <c r="V4" s="9" t="s">
        <v>23</v>
      </c>
      <c r="W4" s="3" t="s">
        <v>28</v>
      </c>
      <c r="X4" s="9" t="s">
        <v>21</v>
      </c>
      <c r="Y4" s="9" t="s">
        <v>22</v>
      </c>
      <c r="Z4" s="9" t="s">
        <v>23</v>
      </c>
      <c r="AA4" s="3" t="s">
        <v>29</v>
      </c>
      <c r="AB4" s="9" t="s">
        <v>21</v>
      </c>
      <c r="AC4" s="9" t="s">
        <v>22</v>
      </c>
      <c r="AD4" s="9" t="s">
        <v>23</v>
      </c>
      <c r="AE4" s="3" t="s">
        <v>30</v>
      </c>
      <c r="AF4" s="9" t="s">
        <v>21</v>
      </c>
      <c r="AG4" s="9" t="s">
        <v>22</v>
      </c>
      <c r="AH4" s="9" t="s">
        <v>23</v>
      </c>
      <c r="AI4" s="3" t="s">
        <v>13</v>
      </c>
      <c r="AJ4" s="3" t="s">
        <v>31</v>
      </c>
      <c r="AK4" s="9" t="s">
        <v>21</v>
      </c>
      <c r="AL4" s="9" t="s">
        <v>22</v>
      </c>
      <c r="AM4" s="9" t="s">
        <v>23</v>
      </c>
      <c r="AN4" s="3" t="s">
        <v>14</v>
      </c>
      <c r="AO4" s="3" t="s">
        <v>32</v>
      </c>
      <c r="AP4" s="9" t="s">
        <v>21</v>
      </c>
      <c r="AQ4" s="9" t="s">
        <v>22</v>
      </c>
      <c r="AR4" s="9" t="s">
        <v>23</v>
      </c>
      <c r="AS4" s="3" t="s">
        <v>6</v>
      </c>
      <c r="AT4" s="9" t="s">
        <v>21</v>
      </c>
      <c r="AU4" s="9" t="s">
        <v>22</v>
      </c>
      <c r="AV4" s="9" t="s">
        <v>23</v>
      </c>
    </row>
    <row r="5" spans="1:49" x14ac:dyDescent="0.25">
      <c r="A5" s="4">
        <v>42370</v>
      </c>
      <c r="B5" s="2">
        <v>-618423.57999999996</v>
      </c>
      <c r="C5" s="10">
        <f>B5*0.30458446</f>
        <v>-188362.2121655668</v>
      </c>
      <c r="D5" s="10">
        <f>B5*0.238258139</f>
        <v>-147344.45128451762</v>
      </c>
      <c r="E5" s="10">
        <f>B5*0.457157401</f>
        <v>-282716.91654991556</v>
      </c>
      <c r="F5" s="19">
        <v>678134</v>
      </c>
      <c r="G5" s="12">
        <f>F5*0.30458446</f>
        <v>206549.07819763999</v>
      </c>
      <c r="H5" s="12">
        <f>F5*0.238258139</f>
        <v>161570.944832626</v>
      </c>
      <c r="I5" s="12">
        <f>F5*0.457157401</f>
        <v>310013.97696973401</v>
      </c>
      <c r="J5" s="19">
        <v>501906</v>
      </c>
      <c r="K5" s="15">
        <f>J5*0.30458446</f>
        <v>152872.76798075999</v>
      </c>
      <c r="L5" s="15">
        <f>J5*0.238258139</f>
        <v>119583.189512934</v>
      </c>
      <c r="M5" s="15">
        <f>J5*0.457157401</f>
        <v>229450.042506306</v>
      </c>
      <c r="N5" s="5"/>
      <c r="O5" s="20">
        <f>309358+2601</f>
        <v>311959</v>
      </c>
      <c r="P5" s="10">
        <f>O5*0.30458446</f>
        <v>95017.863557139994</v>
      </c>
      <c r="Q5" s="10">
        <f>O5*0.238258139</f>
        <v>74326.770784300999</v>
      </c>
      <c r="R5" s="10">
        <f>O5*0.457157401</f>
        <v>142614.36565855899</v>
      </c>
      <c r="S5" s="2">
        <v>86457</v>
      </c>
      <c r="T5" s="16">
        <f>S5*0.30458446</f>
        <v>26333.458658219999</v>
      </c>
      <c r="U5" s="16">
        <f>S5*0.238258139</f>
        <v>20599.083923523001</v>
      </c>
      <c r="V5" s="16">
        <f>S5*0.457157401</f>
        <v>39524.457418257</v>
      </c>
      <c r="W5" s="2">
        <v>85600</v>
      </c>
      <c r="X5" s="10">
        <f>W5*0.30458446</f>
        <v>26072.429776000001</v>
      </c>
      <c r="Y5" s="10">
        <f>W5*0.238258139</f>
        <v>20394.8966984</v>
      </c>
      <c r="Z5" s="10">
        <f>W5*0.457157401</f>
        <v>39132.673525600003</v>
      </c>
      <c r="AA5" s="2">
        <v>16999.41</v>
      </c>
      <c r="AB5" s="10">
        <f>AA5*0.30458446</f>
        <v>5177.7561151685995</v>
      </c>
      <c r="AC5" s="10">
        <f>AA5*0.238258139</f>
        <v>4050.2477906979902</v>
      </c>
      <c r="AD5" s="14">
        <f>AA5*0.457157401</f>
        <v>7771.4060941334101</v>
      </c>
      <c r="AE5" s="2">
        <v>67000</v>
      </c>
      <c r="AF5" s="10">
        <f>AE5*0.30458446</f>
        <v>20407.158820000001</v>
      </c>
      <c r="AG5" s="10">
        <f>AE5*0.238258139</f>
        <v>15963.295313000001</v>
      </c>
      <c r="AH5" s="10">
        <f>AE5*0.457157401</f>
        <v>30629.545867000001</v>
      </c>
      <c r="AI5" s="2"/>
      <c r="AJ5" s="5">
        <f>J5*2%</f>
        <v>10038.120000000001</v>
      </c>
      <c r="AK5" s="10">
        <f>AJ5*0.30458446</f>
        <v>3057.4553596152005</v>
      </c>
      <c r="AL5" s="10">
        <f>AJ5*0.238258139</f>
        <v>2391.6637902586804</v>
      </c>
      <c r="AM5" s="10">
        <f>AJ5*0.457157401</f>
        <v>4589.0008501261209</v>
      </c>
      <c r="AN5" s="2"/>
      <c r="AO5" s="5">
        <f>AN5+AJ5+AI5+AE5+AA5+W5+S5+O5</f>
        <v>578053.53</v>
      </c>
      <c r="AP5" s="10">
        <f>AO5*0.30458446</f>
        <v>176066.1222861438</v>
      </c>
      <c r="AQ5" s="10">
        <f>AO5*0.238258139</f>
        <v>137725.95830018067</v>
      </c>
      <c r="AR5" s="10">
        <f>AO5*0.457157401</f>
        <v>264261.44941367558</v>
      </c>
      <c r="AS5" s="6">
        <f>J5-AO5+B5</f>
        <v>-694571.11</v>
      </c>
      <c r="AT5" s="14">
        <f>AS5*0.30458446</f>
        <v>-211555.56647095061</v>
      </c>
      <c r="AU5" s="14">
        <f>AS5*0.238258139</f>
        <v>-165487.22007176428</v>
      </c>
      <c r="AV5" s="14">
        <f>AS5*0.457157401</f>
        <v>-317528.32345728512</v>
      </c>
    </row>
    <row r="6" spans="1:49" x14ac:dyDescent="0.25">
      <c r="A6" s="4">
        <v>42401</v>
      </c>
      <c r="B6" s="2">
        <v>-118615.03</v>
      </c>
      <c r="C6" s="10">
        <f t="shared" ref="C6:C17" si="0">B6*0.30458446</f>
        <v>-36128.294860433802</v>
      </c>
      <c r="D6" s="10">
        <f t="shared" ref="D6:D17" si="1">B6*0.238258139</f>
        <v>-28260.996305229171</v>
      </c>
      <c r="E6" s="10">
        <f t="shared" ref="E6:E17" si="2">B6*0.457157401</f>
        <v>-54225.738834337033</v>
      </c>
      <c r="F6" s="19">
        <v>678134</v>
      </c>
      <c r="G6" s="12">
        <f t="shared" ref="G6:G16" si="3">F6*0.30458446</f>
        <v>206549.07819763999</v>
      </c>
      <c r="H6" s="12">
        <f t="shared" ref="H6:H16" si="4">F6*0.238258139</f>
        <v>161570.944832626</v>
      </c>
      <c r="I6" s="12">
        <f t="shared" ref="I6:I16" si="5">F6*0.457157401</f>
        <v>310013.97696973401</v>
      </c>
      <c r="J6" s="19">
        <v>651651</v>
      </c>
      <c r="K6" s="15">
        <f t="shared" ref="K6:K17" si="6">J6*0.30458446</f>
        <v>198482.76794346</v>
      </c>
      <c r="L6" s="15">
        <f t="shared" ref="L6:L17" si="7">J6*0.238258139</f>
        <v>155261.154537489</v>
      </c>
      <c r="M6" s="15">
        <f t="shared" ref="M6:M17" si="8">J6*0.457157401</f>
        <v>297907.07751905103</v>
      </c>
      <c r="N6" s="5"/>
      <c r="O6" s="20">
        <f>309358+15498</f>
        <v>324856</v>
      </c>
      <c r="P6" s="10">
        <f t="shared" ref="P6:P17" si="9">O6*0.30458446</f>
        <v>98946.08933776</v>
      </c>
      <c r="Q6" s="10">
        <f t="shared" ref="Q6:Q17" si="10">O6*0.238258139</f>
        <v>77399.586002983997</v>
      </c>
      <c r="R6" s="10">
        <f t="shared" ref="R6:R17" si="11">O6*0.457157401</f>
        <v>148510.324659256</v>
      </c>
      <c r="S6" s="2">
        <v>100308</v>
      </c>
      <c r="T6" s="16">
        <f t="shared" ref="T6:T17" si="12">S6*0.30458446</f>
        <v>30552.258013679999</v>
      </c>
      <c r="U6" s="16">
        <f t="shared" ref="U6:U17" si="13">S6*0.238258139</f>
        <v>23899.197406812</v>
      </c>
      <c r="V6" s="16">
        <f t="shared" ref="V6:V17" si="14">S6*0.457157401</f>
        <v>45856.544579508001</v>
      </c>
      <c r="W6" s="2">
        <v>85600</v>
      </c>
      <c r="X6" s="10">
        <f t="shared" ref="X6:X17" si="15">W6*0.30458446</f>
        <v>26072.429776000001</v>
      </c>
      <c r="Y6" s="10">
        <f t="shared" ref="Y6:Y17" si="16">W6*0.238258139</f>
        <v>20394.8966984</v>
      </c>
      <c r="Z6" s="10">
        <f t="shared" ref="Z6:Z17" si="17">W6*0.457157401</f>
        <v>39132.673525600003</v>
      </c>
      <c r="AA6" s="2">
        <v>16999.41</v>
      </c>
      <c r="AB6" s="10">
        <f t="shared" ref="AB6:AB17" si="18">AA6*0.30458446</f>
        <v>5177.7561151685995</v>
      </c>
      <c r="AC6" s="10">
        <f t="shared" ref="AC6:AC17" si="19">AA6*0.238258139</f>
        <v>4050.2477906979902</v>
      </c>
      <c r="AD6" s="14">
        <f t="shared" ref="AD6:AD17" si="20">AA6*0.457157401</f>
        <v>7771.4060941334101</v>
      </c>
      <c r="AE6" s="2">
        <v>67000</v>
      </c>
      <c r="AF6" s="10">
        <f t="shared" ref="AF6:AF17" si="21">AE6*0.30458446</f>
        <v>20407.158820000001</v>
      </c>
      <c r="AG6" s="10">
        <f t="shared" ref="AG6:AG17" si="22">AE6*0.238258139</f>
        <v>15963.295313000001</v>
      </c>
      <c r="AH6" s="10">
        <f t="shared" ref="AH6:AH17" si="23">AE6*0.457157401</f>
        <v>30629.545867000001</v>
      </c>
      <c r="AI6" s="2"/>
      <c r="AJ6" s="5">
        <f t="shared" ref="AJ6:AJ16" si="24">J6*2%</f>
        <v>13033.02</v>
      </c>
      <c r="AK6" s="10">
        <f t="shared" ref="AK6:AK17" si="25">AJ6*0.30458446</f>
        <v>3969.6553588692</v>
      </c>
      <c r="AL6" s="10">
        <f t="shared" ref="AL6:AL17" si="26">AJ6*0.238258139</f>
        <v>3105.2230907497801</v>
      </c>
      <c r="AM6" s="10">
        <f t="shared" ref="AM6:AM17" si="27">AJ6*0.457157401</f>
        <v>5958.1415503810204</v>
      </c>
      <c r="AN6" s="2"/>
      <c r="AO6" s="2">
        <f t="shared" ref="AO6:AO16" si="28">AN6+AJ6+AI6+AE6+AA6+W6+S6+O6</f>
        <v>607796.42999999993</v>
      </c>
      <c r="AP6" s="10">
        <f t="shared" ref="AP6:AP17" si="29">AO6*0.30458446</f>
        <v>185125.34742147778</v>
      </c>
      <c r="AQ6" s="10">
        <f t="shared" ref="AQ6:AQ17" si="30">AO6*0.238258139</f>
        <v>144812.44630264377</v>
      </c>
      <c r="AR6" s="10">
        <f t="shared" ref="AR6:AR17" si="31">AO6*0.457157401</f>
        <v>277858.63627587841</v>
      </c>
      <c r="AS6" s="6">
        <f t="shared" ref="AS6:AS17" si="32">J6-AO6+B6</f>
        <v>-74760.459999999934</v>
      </c>
      <c r="AT6" s="14">
        <f t="shared" ref="AT6:AT17" si="33">AS6*0.30458446</f>
        <v>-22770.87433845158</v>
      </c>
      <c r="AU6" s="14">
        <f t="shared" ref="AU6:AU17" si="34">AS6*0.238258139</f>
        <v>-17812.288070383926</v>
      </c>
      <c r="AV6" s="14">
        <f t="shared" ref="AV6:AV17" si="35">AS6*0.457157401</f>
        <v>-34177.297591164432</v>
      </c>
      <c r="AW6" s="7"/>
    </row>
    <row r="7" spans="1:49" x14ac:dyDescent="0.25">
      <c r="A7" s="4">
        <v>42430</v>
      </c>
      <c r="B7" s="2">
        <v>-147689.76</v>
      </c>
      <c r="C7" s="10">
        <f t="shared" si="0"/>
        <v>-44984.005797129605</v>
      </c>
      <c r="D7" s="10">
        <f t="shared" si="1"/>
        <v>-35188.28736695664</v>
      </c>
      <c r="E7" s="10">
        <f t="shared" si="2"/>
        <v>-67517.466835913772</v>
      </c>
      <c r="F7" s="19">
        <v>678134</v>
      </c>
      <c r="G7" s="12">
        <f t="shared" si="3"/>
        <v>206549.07819763999</v>
      </c>
      <c r="H7" s="12">
        <f t="shared" si="4"/>
        <v>161570.944832626</v>
      </c>
      <c r="I7" s="12">
        <f t="shared" si="5"/>
        <v>310013.97696973401</v>
      </c>
      <c r="J7" s="19">
        <v>727903</v>
      </c>
      <c r="K7" s="15">
        <f t="shared" si="6"/>
        <v>221707.94218737999</v>
      </c>
      <c r="L7" s="15">
        <f t="shared" si="7"/>
        <v>173428.81415251701</v>
      </c>
      <c r="M7" s="15">
        <f t="shared" si="8"/>
        <v>332766.24366010301</v>
      </c>
      <c r="N7" s="5"/>
      <c r="O7" s="20">
        <v>309358</v>
      </c>
      <c r="P7" s="10">
        <f t="shared" si="9"/>
        <v>94225.639376680003</v>
      </c>
      <c r="Q7" s="10">
        <f t="shared" si="10"/>
        <v>73707.061364762005</v>
      </c>
      <c r="R7" s="10">
        <f t="shared" si="11"/>
        <v>141425.29925855799</v>
      </c>
      <c r="S7" s="2">
        <v>96811</v>
      </c>
      <c r="T7" s="16">
        <f t="shared" si="12"/>
        <v>29487.12615706</v>
      </c>
      <c r="U7" s="16">
        <f t="shared" si="13"/>
        <v>23066.008694729</v>
      </c>
      <c r="V7" s="16">
        <f t="shared" si="14"/>
        <v>44257.865148211</v>
      </c>
      <c r="W7" s="2">
        <v>85600</v>
      </c>
      <c r="X7" s="10">
        <f t="shared" si="15"/>
        <v>26072.429776000001</v>
      </c>
      <c r="Y7" s="10">
        <f t="shared" si="16"/>
        <v>20394.8966984</v>
      </c>
      <c r="Z7" s="10">
        <f t="shared" si="17"/>
        <v>39132.673525600003</v>
      </c>
      <c r="AA7" s="2">
        <v>16999.419999999998</v>
      </c>
      <c r="AB7" s="10">
        <f t="shared" si="18"/>
        <v>5177.7591610131994</v>
      </c>
      <c r="AC7" s="10">
        <f t="shared" si="19"/>
        <v>4050.2501732793799</v>
      </c>
      <c r="AD7" s="14">
        <f t="shared" si="20"/>
        <v>7771.4106657074199</v>
      </c>
      <c r="AE7" s="2">
        <v>67000</v>
      </c>
      <c r="AF7" s="10">
        <f t="shared" si="21"/>
        <v>20407.158820000001</v>
      </c>
      <c r="AG7" s="10">
        <f t="shared" si="22"/>
        <v>15963.295313000001</v>
      </c>
      <c r="AH7" s="10">
        <f t="shared" si="23"/>
        <v>30629.545867000001</v>
      </c>
      <c r="AI7" s="2"/>
      <c r="AJ7" s="5">
        <f t="shared" si="24"/>
        <v>14558.06</v>
      </c>
      <c r="AK7" s="10">
        <f t="shared" si="25"/>
        <v>4434.1588437476003</v>
      </c>
      <c r="AL7" s="10">
        <f t="shared" si="26"/>
        <v>3468.57628305034</v>
      </c>
      <c r="AM7" s="10">
        <f t="shared" si="27"/>
        <v>6655.3248732020602</v>
      </c>
      <c r="AN7" s="2"/>
      <c r="AO7" s="2">
        <f t="shared" si="28"/>
        <v>590326.48</v>
      </c>
      <c r="AP7" s="10">
        <f t="shared" si="29"/>
        <v>179804.27213450079</v>
      </c>
      <c r="AQ7" s="10">
        <f t="shared" si="30"/>
        <v>140650.08852722071</v>
      </c>
      <c r="AR7" s="10">
        <f t="shared" si="31"/>
        <v>269872.11933827848</v>
      </c>
      <c r="AS7" s="6">
        <f t="shared" si="32"/>
        <v>-10113.239999999991</v>
      </c>
      <c r="AT7" s="14">
        <f t="shared" si="33"/>
        <v>-3080.3357442503971</v>
      </c>
      <c r="AU7" s="14">
        <f t="shared" si="34"/>
        <v>-2409.5617416603577</v>
      </c>
      <c r="AV7" s="14">
        <f t="shared" si="35"/>
        <v>-4623.3425140892359</v>
      </c>
    </row>
    <row r="8" spans="1:49" x14ac:dyDescent="0.25">
      <c r="A8" s="4">
        <v>42461</v>
      </c>
      <c r="B8" s="2">
        <v>-286596.11</v>
      </c>
      <c r="C8" s="10">
        <f t="shared" si="0"/>
        <v>-87292.721402450596</v>
      </c>
      <c r="D8" s="10">
        <f t="shared" si="1"/>
        <v>-68283.855813239294</v>
      </c>
      <c r="E8" s="10">
        <f t="shared" si="2"/>
        <v>-131019.53278431011</v>
      </c>
      <c r="F8" s="19">
        <v>678134</v>
      </c>
      <c r="G8" s="12">
        <f t="shared" si="3"/>
        <v>206549.07819763999</v>
      </c>
      <c r="H8" s="12">
        <f t="shared" si="4"/>
        <v>161570.944832626</v>
      </c>
      <c r="I8" s="12">
        <f t="shared" si="5"/>
        <v>310013.97696973401</v>
      </c>
      <c r="J8" s="19">
        <v>592567</v>
      </c>
      <c r="K8" s="15">
        <f t="shared" si="6"/>
        <v>180486.69970882</v>
      </c>
      <c r="L8" s="15">
        <f t="shared" si="7"/>
        <v>141183.91065281301</v>
      </c>
      <c r="M8" s="15">
        <f t="shared" si="8"/>
        <v>270896.38963836699</v>
      </c>
      <c r="N8" s="5"/>
      <c r="O8" s="20">
        <f>309358+3604</f>
        <v>312962</v>
      </c>
      <c r="P8" s="10">
        <f t="shared" si="9"/>
        <v>95323.361770520001</v>
      </c>
      <c r="Q8" s="10">
        <f t="shared" si="10"/>
        <v>74565.743697718004</v>
      </c>
      <c r="R8" s="10">
        <f t="shared" si="11"/>
        <v>143072.89453176199</v>
      </c>
      <c r="S8" s="2">
        <v>101451</v>
      </c>
      <c r="T8" s="16">
        <f t="shared" si="12"/>
        <v>30900.398051460001</v>
      </c>
      <c r="U8" s="16">
        <f t="shared" si="13"/>
        <v>24171.526459689001</v>
      </c>
      <c r="V8" s="16">
        <f t="shared" si="14"/>
        <v>46379.075488851006</v>
      </c>
      <c r="W8" s="2">
        <v>85600</v>
      </c>
      <c r="X8" s="10">
        <f t="shared" si="15"/>
        <v>26072.429776000001</v>
      </c>
      <c r="Y8" s="10">
        <f t="shared" si="16"/>
        <v>20394.8966984</v>
      </c>
      <c r="Z8" s="10">
        <f t="shared" si="17"/>
        <v>39132.673525600003</v>
      </c>
      <c r="AA8" s="2">
        <v>16999.419999999998</v>
      </c>
      <c r="AB8" s="10">
        <f t="shared" si="18"/>
        <v>5177.7591610131994</v>
      </c>
      <c r="AC8" s="10">
        <f t="shared" si="19"/>
        <v>4050.2501732793799</v>
      </c>
      <c r="AD8" s="14">
        <f t="shared" si="20"/>
        <v>7771.4106657074199</v>
      </c>
      <c r="AE8" s="2">
        <v>67000</v>
      </c>
      <c r="AF8" s="10">
        <f t="shared" si="21"/>
        <v>20407.158820000001</v>
      </c>
      <c r="AG8" s="10">
        <f t="shared" si="22"/>
        <v>15963.295313000001</v>
      </c>
      <c r="AH8" s="10">
        <f t="shared" si="23"/>
        <v>30629.545867000001</v>
      </c>
      <c r="AI8" s="2"/>
      <c r="AJ8" s="5">
        <f t="shared" si="24"/>
        <v>11851.34</v>
      </c>
      <c r="AK8" s="10">
        <f t="shared" si="25"/>
        <v>3609.7339941763998</v>
      </c>
      <c r="AL8" s="10">
        <f t="shared" si="26"/>
        <v>2823.6782130562601</v>
      </c>
      <c r="AM8" s="10">
        <f t="shared" si="27"/>
        <v>5417.9277927673402</v>
      </c>
      <c r="AN8" s="2"/>
      <c r="AO8" s="2">
        <f t="shared" si="28"/>
        <v>595863.76</v>
      </c>
      <c r="AP8" s="10">
        <f t="shared" si="29"/>
        <v>181490.8415731696</v>
      </c>
      <c r="AQ8" s="10">
        <f t="shared" si="30"/>
        <v>141969.39055514266</v>
      </c>
      <c r="AR8" s="10">
        <f t="shared" si="31"/>
        <v>272403.52787168778</v>
      </c>
      <c r="AS8" s="6">
        <f t="shared" si="32"/>
        <v>-289892.87</v>
      </c>
      <c r="AT8" s="14">
        <f t="shared" si="33"/>
        <v>-88296.863266800196</v>
      </c>
      <c r="AU8" s="14">
        <f t="shared" si="34"/>
        <v>-69069.33571556893</v>
      </c>
      <c r="AV8" s="14">
        <f t="shared" si="35"/>
        <v>-132526.67101763087</v>
      </c>
    </row>
    <row r="9" spans="1:49" x14ac:dyDescent="0.25">
      <c r="A9" s="4">
        <v>42491</v>
      </c>
      <c r="B9" s="2">
        <v>-392388.18</v>
      </c>
      <c r="C9" s="10">
        <f t="shared" si="0"/>
        <v>-119515.3419156828</v>
      </c>
      <c r="D9" s="10">
        <f t="shared" si="1"/>
        <v>-93489.677532397021</v>
      </c>
      <c r="E9" s="10">
        <f t="shared" si="2"/>
        <v>-179383.16055192018</v>
      </c>
      <c r="F9" s="19">
        <v>679911</v>
      </c>
      <c r="G9" s="12">
        <f t="shared" si="3"/>
        <v>207090.32478306</v>
      </c>
      <c r="H9" s="12">
        <f t="shared" si="4"/>
        <v>161994.32954562901</v>
      </c>
      <c r="I9" s="12">
        <f t="shared" si="5"/>
        <v>310826.34567131102</v>
      </c>
      <c r="J9" s="19">
        <v>597078</v>
      </c>
      <c r="K9" s="15">
        <f t="shared" si="6"/>
        <v>181860.68020788001</v>
      </c>
      <c r="L9" s="15">
        <f t="shared" si="7"/>
        <v>142258.69311784199</v>
      </c>
      <c r="M9" s="15">
        <f t="shared" si="8"/>
        <v>272958.626674278</v>
      </c>
      <c r="N9" s="5"/>
      <c r="O9" s="20">
        <f>309358+6300</f>
        <v>315658</v>
      </c>
      <c r="P9" s="10">
        <f t="shared" si="9"/>
        <v>96144.521474680005</v>
      </c>
      <c r="Q9" s="10">
        <f t="shared" si="10"/>
        <v>75208.087640462007</v>
      </c>
      <c r="R9" s="10">
        <f t="shared" si="11"/>
        <v>144305.390884858</v>
      </c>
      <c r="S9" s="2">
        <v>102782</v>
      </c>
      <c r="T9" s="16">
        <f t="shared" si="12"/>
        <v>31305.799967719999</v>
      </c>
      <c r="U9" s="16">
        <f t="shared" si="13"/>
        <v>24488.648042698002</v>
      </c>
      <c r="V9" s="16">
        <f t="shared" si="14"/>
        <v>46987.551989582003</v>
      </c>
      <c r="W9" s="2">
        <v>85600</v>
      </c>
      <c r="X9" s="10">
        <f t="shared" si="15"/>
        <v>26072.429776000001</v>
      </c>
      <c r="Y9" s="10">
        <f t="shared" si="16"/>
        <v>20394.8966984</v>
      </c>
      <c r="Z9" s="10">
        <f t="shared" si="17"/>
        <v>39132.673525600003</v>
      </c>
      <c r="AA9" s="2">
        <v>16999.419999999998</v>
      </c>
      <c r="AB9" s="10">
        <f t="shared" si="18"/>
        <v>5177.7591610131994</v>
      </c>
      <c r="AC9" s="10">
        <f t="shared" si="19"/>
        <v>4050.2501732793799</v>
      </c>
      <c r="AD9" s="14">
        <f t="shared" si="20"/>
        <v>7771.4106657074199</v>
      </c>
      <c r="AE9" s="2">
        <v>67000</v>
      </c>
      <c r="AF9" s="10">
        <f t="shared" si="21"/>
        <v>20407.158820000001</v>
      </c>
      <c r="AG9" s="10">
        <f t="shared" si="22"/>
        <v>15963.295313000001</v>
      </c>
      <c r="AH9" s="10">
        <f t="shared" si="23"/>
        <v>30629.545867000001</v>
      </c>
      <c r="AI9" s="2"/>
      <c r="AJ9" s="5">
        <f t="shared" si="24"/>
        <v>11941.56</v>
      </c>
      <c r="AK9" s="10">
        <f t="shared" si="25"/>
        <v>3637.2136041576</v>
      </c>
      <c r="AL9" s="10">
        <f t="shared" si="26"/>
        <v>2845.1738623568399</v>
      </c>
      <c r="AM9" s="10">
        <f t="shared" si="27"/>
        <v>5459.1725334855601</v>
      </c>
      <c r="AN9" s="2"/>
      <c r="AO9" s="2">
        <f t="shared" si="28"/>
        <v>599980.98</v>
      </c>
      <c r="AP9" s="10">
        <f t="shared" si="29"/>
        <v>182744.8828035708</v>
      </c>
      <c r="AQ9" s="10">
        <f t="shared" si="30"/>
        <v>142950.35173019621</v>
      </c>
      <c r="AR9" s="10">
        <f t="shared" si="31"/>
        <v>274285.745466233</v>
      </c>
      <c r="AS9" s="6">
        <f t="shared" si="32"/>
        <v>-395291.16</v>
      </c>
      <c r="AT9" s="14">
        <f t="shared" si="33"/>
        <v>-120399.54451137359</v>
      </c>
      <c r="AU9" s="14">
        <f t="shared" si="34"/>
        <v>-94181.336144751243</v>
      </c>
      <c r="AV9" s="14">
        <f t="shared" si="35"/>
        <v>-180710.27934387515</v>
      </c>
    </row>
    <row r="10" spans="1:49" x14ac:dyDescent="0.25">
      <c r="A10" s="4">
        <v>42522</v>
      </c>
      <c r="B10" s="2">
        <v>-22057.63</v>
      </c>
      <c r="C10" s="10">
        <f t="shared" si="0"/>
        <v>-6718.4113224298007</v>
      </c>
      <c r="D10" s="10">
        <f t="shared" si="1"/>
        <v>-5255.4098745505707</v>
      </c>
      <c r="E10" s="10">
        <f t="shared" si="2"/>
        <v>-10083.80880301963</v>
      </c>
      <c r="F10" s="19">
        <v>802719.91</v>
      </c>
      <c r="G10" s="12">
        <f t="shared" si="3"/>
        <v>244496.01031859862</v>
      </c>
      <c r="H10" s="12">
        <f t="shared" si="4"/>
        <v>191254.55189484751</v>
      </c>
      <c r="I10" s="12">
        <f t="shared" si="5"/>
        <v>366969.34778655396</v>
      </c>
      <c r="J10" s="19">
        <v>650767</v>
      </c>
      <c r="K10" s="15">
        <f t="shared" si="6"/>
        <v>198213.51528081999</v>
      </c>
      <c r="L10" s="15">
        <f t="shared" si="7"/>
        <v>155050.53434261301</v>
      </c>
      <c r="M10" s="15">
        <f t="shared" si="8"/>
        <v>297502.95037656702</v>
      </c>
      <c r="N10" s="5"/>
      <c r="O10" s="20">
        <f>309358+5116</f>
        <v>314474</v>
      </c>
      <c r="P10" s="10">
        <f t="shared" si="9"/>
        <v>95783.89347404</v>
      </c>
      <c r="Q10" s="10">
        <f t="shared" si="10"/>
        <v>74925.990003886007</v>
      </c>
      <c r="R10" s="10">
        <f t="shared" si="11"/>
        <v>143764.11652207401</v>
      </c>
      <c r="S10" s="2">
        <v>103373</v>
      </c>
      <c r="T10" s="16">
        <f t="shared" si="12"/>
        <v>31485.809383579999</v>
      </c>
      <c r="U10" s="16">
        <f t="shared" si="13"/>
        <v>24629.458602847</v>
      </c>
      <c r="V10" s="16">
        <f t="shared" si="14"/>
        <v>47257.732013573004</v>
      </c>
      <c r="W10" s="2">
        <v>85600</v>
      </c>
      <c r="X10" s="10">
        <f t="shared" si="15"/>
        <v>26072.429776000001</v>
      </c>
      <c r="Y10" s="10">
        <f t="shared" si="16"/>
        <v>20394.8966984</v>
      </c>
      <c r="Z10" s="10">
        <f t="shared" si="17"/>
        <v>39132.673525600003</v>
      </c>
      <c r="AA10" s="2">
        <v>16999.419999999998</v>
      </c>
      <c r="AB10" s="10">
        <f t="shared" si="18"/>
        <v>5177.7591610131994</v>
      </c>
      <c r="AC10" s="10">
        <f t="shared" si="19"/>
        <v>4050.2501732793799</v>
      </c>
      <c r="AD10" s="14">
        <f t="shared" si="20"/>
        <v>7771.4106657074199</v>
      </c>
      <c r="AE10" s="2">
        <v>67000</v>
      </c>
      <c r="AF10" s="10">
        <f t="shared" si="21"/>
        <v>20407.158820000001</v>
      </c>
      <c r="AG10" s="10">
        <f t="shared" si="22"/>
        <v>15963.295313000001</v>
      </c>
      <c r="AH10" s="10">
        <f t="shared" si="23"/>
        <v>30629.545867000001</v>
      </c>
      <c r="AI10" s="2"/>
      <c r="AJ10" s="5">
        <f t="shared" si="24"/>
        <v>13015.34</v>
      </c>
      <c r="AK10" s="10">
        <f t="shared" si="25"/>
        <v>3964.2703056164</v>
      </c>
      <c r="AL10" s="10">
        <f t="shared" si="26"/>
        <v>3101.0106868522603</v>
      </c>
      <c r="AM10" s="10">
        <f t="shared" si="27"/>
        <v>5950.0590075313403</v>
      </c>
      <c r="AN10" s="2"/>
      <c r="AO10" s="2">
        <f t="shared" si="28"/>
        <v>600461.76</v>
      </c>
      <c r="AP10" s="10">
        <f t="shared" si="29"/>
        <v>182891.32092024959</v>
      </c>
      <c r="AQ10" s="10">
        <f t="shared" si="30"/>
        <v>143064.90147826466</v>
      </c>
      <c r="AR10" s="10">
        <f t="shared" si="31"/>
        <v>274505.53760148579</v>
      </c>
      <c r="AS10" s="6">
        <f t="shared" si="32"/>
        <v>28247.60999999999</v>
      </c>
      <c r="AT10" s="14">
        <f t="shared" si="33"/>
        <v>8603.7830381405965</v>
      </c>
      <c r="AU10" s="14">
        <f t="shared" si="34"/>
        <v>6730.2229897977877</v>
      </c>
      <c r="AV10" s="14">
        <f t="shared" si="35"/>
        <v>12913.603972061606</v>
      </c>
    </row>
    <row r="11" spans="1:49" x14ac:dyDescent="0.25">
      <c r="A11" s="4">
        <v>42552</v>
      </c>
      <c r="B11" s="2">
        <v>188069.96</v>
      </c>
      <c r="C11" s="10">
        <f t="shared" si="0"/>
        <v>57283.187208821597</v>
      </c>
      <c r="D11" s="10">
        <f t="shared" si="1"/>
        <v>44809.19867140444</v>
      </c>
      <c r="E11" s="10">
        <f t="shared" si="2"/>
        <v>85977.574119773955</v>
      </c>
      <c r="F11" s="19">
        <v>802719.91</v>
      </c>
      <c r="G11" s="12">
        <f t="shared" si="3"/>
        <v>244496.01031859862</v>
      </c>
      <c r="H11" s="12">
        <f t="shared" si="4"/>
        <v>191254.55189484751</v>
      </c>
      <c r="I11" s="12">
        <f t="shared" si="5"/>
        <v>366969.34778655396</v>
      </c>
      <c r="J11" s="19">
        <v>676777</v>
      </c>
      <c r="K11" s="15">
        <f t="shared" si="6"/>
        <v>206135.75708541999</v>
      </c>
      <c r="L11" s="15">
        <f t="shared" si="7"/>
        <v>161247.62853800302</v>
      </c>
      <c r="M11" s="15">
        <f t="shared" si="8"/>
        <v>309393.61437657702</v>
      </c>
      <c r="N11" s="5"/>
      <c r="O11" s="20">
        <f>309358+200000</f>
        <v>509358</v>
      </c>
      <c r="P11" s="10">
        <f t="shared" si="9"/>
        <v>155142.53137668001</v>
      </c>
      <c r="Q11" s="10">
        <f t="shared" si="10"/>
        <v>121358.68916476201</v>
      </c>
      <c r="R11" s="10">
        <f t="shared" si="11"/>
        <v>232856.77945855801</v>
      </c>
      <c r="S11" s="2">
        <v>203450</v>
      </c>
      <c r="T11" s="16">
        <f t="shared" si="12"/>
        <v>61967.708386999999</v>
      </c>
      <c r="U11" s="16">
        <f t="shared" si="13"/>
        <v>48473.618379550004</v>
      </c>
      <c r="V11" s="16">
        <f t="shared" si="14"/>
        <v>93008.673233449997</v>
      </c>
      <c r="W11" s="2">
        <v>85600</v>
      </c>
      <c r="X11" s="10">
        <f t="shared" si="15"/>
        <v>26072.429776000001</v>
      </c>
      <c r="Y11" s="10">
        <f t="shared" si="16"/>
        <v>20394.8966984</v>
      </c>
      <c r="Z11" s="10">
        <f t="shared" si="17"/>
        <v>39132.673525600003</v>
      </c>
      <c r="AA11" s="2">
        <v>16999.419999999998</v>
      </c>
      <c r="AB11" s="10">
        <f t="shared" si="18"/>
        <v>5177.7591610131994</v>
      </c>
      <c r="AC11" s="10">
        <f t="shared" si="19"/>
        <v>4050.2501732793799</v>
      </c>
      <c r="AD11" s="14">
        <f t="shared" si="20"/>
        <v>7771.4106657074199</v>
      </c>
      <c r="AE11" s="2">
        <v>67000</v>
      </c>
      <c r="AF11" s="10">
        <f t="shared" si="21"/>
        <v>20407.158820000001</v>
      </c>
      <c r="AG11" s="10">
        <f t="shared" si="22"/>
        <v>15963.295313000001</v>
      </c>
      <c r="AH11" s="10">
        <f t="shared" si="23"/>
        <v>30629.545867000001</v>
      </c>
      <c r="AI11" s="2"/>
      <c r="AJ11" s="5">
        <f t="shared" si="24"/>
        <v>13535.54</v>
      </c>
      <c r="AK11" s="10">
        <f t="shared" si="25"/>
        <v>4122.7151417084006</v>
      </c>
      <c r="AL11" s="10">
        <f t="shared" si="26"/>
        <v>3224.9525707600601</v>
      </c>
      <c r="AM11" s="10">
        <f t="shared" si="27"/>
        <v>6187.8722875315407</v>
      </c>
      <c r="AN11" s="2"/>
      <c r="AO11" s="2">
        <f t="shared" si="28"/>
        <v>895942.96</v>
      </c>
      <c r="AP11" s="10">
        <f t="shared" si="29"/>
        <v>272890.30266240158</v>
      </c>
      <c r="AQ11" s="10">
        <f t="shared" si="30"/>
        <v>213465.70229975143</v>
      </c>
      <c r="AR11" s="10">
        <f t="shared" si="31"/>
        <v>409586.95503784699</v>
      </c>
      <c r="AS11" s="6">
        <f t="shared" si="32"/>
        <v>-31095.999999999971</v>
      </c>
      <c r="AT11" s="14">
        <f t="shared" si="33"/>
        <v>-9471.3583681599903</v>
      </c>
      <c r="AU11" s="14">
        <f t="shared" si="34"/>
        <v>-7408.8750903439932</v>
      </c>
      <c r="AV11" s="14">
        <f t="shared" si="35"/>
        <v>-14215.766541495987</v>
      </c>
    </row>
    <row r="12" spans="1:49" x14ac:dyDescent="0.25">
      <c r="A12" s="4">
        <v>42583</v>
      </c>
      <c r="B12" s="2">
        <v>-203349.28</v>
      </c>
      <c r="C12" s="10">
        <f t="shared" si="0"/>
        <v>-61937.030640188801</v>
      </c>
      <c r="D12" s="10">
        <f t="shared" si="1"/>
        <v>-48449.62101978992</v>
      </c>
      <c r="E12" s="10">
        <f t="shared" si="2"/>
        <v>-92962.628340021285</v>
      </c>
      <c r="F12" s="19">
        <v>802719.91</v>
      </c>
      <c r="G12" s="12">
        <f t="shared" si="3"/>
        <v>244496.01031859862</v>
      </c>
      <c r="H12" s="12">
        <f t="shared" si="4"/>
        <v>191254.55189484751</v>
      </c>
      <c r="I12" s="12">
        <f t="shared" si="5"/>
        <v>366969.34778655396</v>
      </c>
      <c r="J12" s="19">
        <v>706870</v>
      </c>
      <c r="K12" s="15">
        <f t="shared" si="6"/>
        <v>215301.61724019999</v>
      </c>
      <c r="L12" s="15">
        <f t="shared" si="7"/>
        <v>168417.53071493001</v>
      </c>
      <c r="M12" s="15">
        <f t="shared" si="8"/>
        <v>323150.85204487003</v>
      </c>
      <c r="N12" s="5"/>
      <c r="O12" s="20">
        <f>309358+36000+12266</f>
        <v>357624</v>
      </c>
      <c r="P12" s="10">
        <f t="shared" si="9"/>
        <v>108926.71292304</v>
      </c>
      <c r="Q12" s="10">
        <f t="shared" si="10"/>
        <v>85206.828701735998</v>
      </c>
      <c r="R12" s="10">
        <f t="shared" si="11"/>
        <v>163490.458375224</v>
      </c>
      <c r="S12" s="2">
        <v>99567</v>
      </c>
      <c r="T12" s="16">
        <f t="shared" si="12"/>
        <v>30326.560928819999</v>
      </c>
      <c r="U12" s="16">
        <f t="shared" si="13"/>
        <v>23722.648125813001</v>
      </c>
      <c r="V12" s="16">
        <f t="shared" si="14"/>
        <v>45517.790945367</v>
      </c>
      <c r="W12" s="2">
        <v>85600</v>
      </c>
      <c r="X12" s="10">
        <f t="shared" si="15"/>
        <v>26072.429776000001</v>
      </c>
      <c r="Y12" s="10">
        <f t="shared" si="16"/>
        <v>20394.8966984</v>
      </c>
      <c r="Z12" s="10">
        <f t="shared" si="17"/>
        <v>39132.673525600003</v>
      </c>
      <c r="AA12" s="2">
        <v>16999.419999999998</v>
      </c>
      <c r="AB12" s="10">
        <f t="shared" si="18"/>
        <v>5177.7591610131994</v>
      </c>
      <c r="AC12" s="10">
        <f t="shared" si="19"/>
        <v>4050.2501732793799</v>
      </c>
      <c r="AD12" s="14">
        <f t="shared" si="20"/>
        <v>7771.4106657074199</v>
      </c>
      <c r="AE12" s="2">
        <v>67000</v>
      </c>
      <c r="AF12" s="10">
        <f t="shared" si="21"/>
        <v>20407.158820000001</v>
      </c>
      <c r="AG12" s="10">
        <f t="shared" si="22"/>
        <v>15963.295313000001</v>
      </c>
      <c r="AH12" s="10">
        <f t="shared" si="23"/>
        <v>30629.545867000001</v>
      </c>
      <c r="AI12" s="2"/>
      <c r="AJ12" s="5">
        <f t="shared" si="24"/>
        <v>14137.4</v>
      </c>
      <c r="AK12" s="10">
        <f t="shared" si="25"/>
        <v>4306.0323448039999</v>
      </c>
      <c r="AL12" s="10">
        <f t="shared" si="26"/>
        <v>3368.3506142986002</v>
      </c>
      <c r="AM12" s="10">
        <f t="shared" si="27"/>
        <v>6463.0170408974</v>
      </c>
      <c r="AN12" s="2"/>
      <c r="AO12" s="2">
        <f t="shared" si="28"/>
        <v>640927.82000000007</v>
      </c>
      <c r="AP12" s="10">
        <f t="shared" si="29"/>
        <v>195216.65395367722</v>
      </c>
      <c r="AQ12" s="10">
        <f t="shared" si="30"/>
        <v>152706.26962652701</v>
      </c>
      <c r="AR12" s="10">
        <f t="shared" si="31"/>
        <v>293004.89641979587</v>
      </c>
      <c r="AS12" s="6">
        <f t="shared" si="32"/>
        <v>-137407.10000000006</v>
      </c>
      <c r="AT12" s="14">
        <f t="shared" si="33"/>
        <v>-41852.067353666018</v>
      </c>
      <c r="AU12" s="14">
        <f t="shared" si="34"/>
        <v>-32738.359931386916</v>
      </c>
      <c r="AV12" s="14">
        <f t="shared" si="35"/>
        <v>-62816.672714947133</v>
      </c>
    </row>
    <row r="13" spans="1:49" x14ac:dyDescent="0.25">
      <c r="A13" s="4">
        <v>42614</v>
      </c>
      <c r="B13" s="2">
        <v>217690.17</v>
      </c>
      <c r="C13" s="10">
        <f t="shared" si="0"/>
        <v>66305.042876758205</v>
      </c>
      <c r="D13" s="10">
        <f t="shared" si="1"/>
        <v>51866.454782793633</v>
      </c>
      <c r="E13" s="10">
        <f t="shared" si="2"/>
        <v>99518.672340448175</v>
      </c>
      <c r="F13" s="19">
        <v>802719.91</v>
      </c>
      <c r="G13" s="12">
        <f t="shared" si="3"/>
        <v>244496.01031859862</v>
      </c>
      <c r="H13" s="12">
        <f t="shared" si="4"/>
        <v>191254.55189484751</v>
      </c>
      <c r="I13" s="12">
        <f t="shared" si="5"/>
        <v>366969.34778655396</v>
      </c>
      <c r="J13" s="19">
        <v>602717</v>
      </c>
      <c r="K13" s="15">
        <f t="shared" si="6"/>
        <v>183578.23197781999</v>
      </c>
      <c r="L13" s="15">
        <f t="shared" si="7"/>
        <v>143602.23076366301</v>
      </c>
      <c r="M13" s="15">
        <f t="shared" si="8"/>
        <v>275536.537258517</v>
      </c>
      <c r="N13" s="5"/>
      <c r="O13" s="20">
        <f>309358+15498+1875</f>
        <v>326731</v>
      </c>
      <c r="P13" s="10">
        <f t="shared" si="9"/>
        <v>99517.185200260006</v>
      </c>
      <c r="Q13" s="10">
        <f t="shared" si="10"/>
        <v>77846.320013609002</v>
      </c>
      <c r="R13" s="10">
        <f t="shared" si="11"/>
        <v>149367.49478613099</v>
      </c>
      <c r="S13" s="2">
        <v>90434</v>
      </c>
      <c r="T13" s="16">
        <f t="shared" si="12"/>
        <v>27544.791055639998</v>
      </c>
      <c r="U13" s="16">
        <f t="shared" si="13"/>
        <v>21546.636542325999</v>
      </c>
      <c r="V13" s="16">
        <f t="shared" si="14"/>
        <v>41342.572402033999</v>
      </c>
      <c r="W13" s="2">
        <v>85600</v>
      </c>
      <c r="X13" s="10">
        <f t="shared" si="15"/>
        <v>26072.429776000001</v>
      </c>
      <c r="Y13" s="10">
        <f t="shared" si="16"/>
        <v>20394.8966984</v>
      </c>
      <c r="Z13" s="10">
        <f t="shared" si="17"/>
        <v>39132.673525600003</v>
      </c>
      <c r="AA13" s="2">
        <v>16999.419999999998</v>
      </c>
      <c r="AB13" s="10">
        <f t="shared" si="18"/>
        <v>5177.7591610131994</v>
      </c>
      <c r="AC13" s="10">
        <f t="shared" si="19"/>
        <v>4050.2501732793799</v>
      </c>
      <c r="AD13" s="14">
        <f t="shared" si="20"/>
        <v>7771.4106657074199</v>
      </c>
      <c r="AE13" s="2">
        <v>67000</v>
      </c>
      <c r="AF13" s="10">
        <f t="shared" si="21"/>
        <v>20407.158820000001</v>
      </c>
      <c r="AG13" s="10">
        <f t="shared" si="22"/>
        <v>15963.295313000001</v>
      </c>
      <c r="AH13" s="10">
        <f t="shared" si="23"/>
        <v>30629.545867000001</v>
      </c>
      <c r="AI13" s="2"/>
      <c r="AJ13" s="5">
        <f t="shared" si="24"/>
        <v>12054.34</v>
      </c>
      <c r="AK13" s="10">
        <f t="shared" si="25"/>
        <v>3671.5646395563999</v>
      </c>
      <c r="AL13" s="10">
        <f t="shared" si="26"/>
        <v>2872.0446152732602</v>
      </c>
      <c r="AM13" s="10">
        <f t="shared" si="27"/>
        <v>5510.73074517034</v>
      </c>
      <c r="AN13" s="2"/>
      <c r="AO13" s="2">
        <f t="shared" si="28"/>
        <v>598818.76</v>
      </c>
      <c r="AP13" s="10">
        <f t="shared" si="29"/>
        <v>182390.88865246961</v>
      </c>
      <c r="AQ13" s="10">
        <f t="shared" si="30"/>
        <v>142673.44335588763</v>
      </c>
      <c r="AR13" s="10">
        <f t="shared" si="31"/>
        <v>273754.42799164279</v>
      </c>
      <c r="AS13" s="6">
        <f t="shared" si="32"/>
        <v>221588.41</v>
      </c>
      <c r="AT13" s="14">
        <f t="shared" si="33"/>
        <v>67492.386202108595</v>
      </c>
      <c r="AU13" s="14">
        <f t="shared" si="34"/>
        <v>52795.242190568992</v>
      </c>
      <c r="AV13" s="14">
        <f t="shared" si="35"/>
        <v>101300.78160732241</v>
      </c>
    </row>
    <row r="14" spans="1:49" x14ac:dyDescent="0.25">
      <c r="A14" s="4">
        <v>42644</v>
      </c>
      <c r="B14" s="2">
        <v>265464.92</v>
      </c>
      <c r="C14" s="10">
        <f t="shared" si="0"/>
        <v>80856.489307143202</v>
      </c>
      <c r="D14" s="10">
        <f t="shared" si="1"/>
        <v>63249.177808983877</v>
      </c>
      <c r="E14" s="10">
        <f t="shared" si="2"/>
        <v>121359.25288387292</v>
      </c>
      <c r="F14" s="19">
        <v>802719.91</v>
      </c>
      <c r="G14" s="12">
        <f t="shared" si="3"/>
        <v>244496.01031859862</v>
      </c>
      <c r="H14" s="12">
        <f t="shared" si="4"/>
        <v>191254.55189484751</v>
      </c>
      <c r="I14" s="12">
        <f t="shared" si="5"/>
        <v>366969.34778655396</v>
      </c>
      <c r="J14" s="19">
        <v>581367</v>
      </c>
      <c r="K14" s="15">
        <f t="shared" si="6"/>
        <v>177075.35375682</v>
      </c>
      <c r="L14" s="15">
        <f t="shared" si="7"/>
        <v>138515.419496013</v>
      </c>
      <c r="M14" s="15">
        <f t="shared" si="8"/>
        <v>265776.22674716701</v>
      </c>
      <c r="N14" s="5"/>
      <c r="O14" s="20">
        <f>309358+29167+200000</f>
        <v>538525</v>
      </c>
      <c r="P14" s="10">
        <f t="shared" si="9"/>
        <v>164026.34632149999</v>
      </c>
      <c r="Q14" s="10">
        <f t="shared" si="10"/>
        <v>128307.964304975</v>
      </c>
      <c r="R14" s="10">
        <f t="shared" si="11"/>
        <v>246190.68937352501</v>
      </c>
      <c r="S14" s="2">
        <v>145210</v>
      </c>
      <c r="T14" s="16">
        <f t="shared" si="12"/>
        <v>44228.709436600002</v>
      </c>
      <c r="U14" s="16">
        <f t="shared" si="13"/>
        <v>34597.464364190004</v>
      </c>
      <c r="V14" s="16">
        <f t="shared" si="14"/>
        <v>66383.826199210002</v>
      </c>
      <c r="W14" s="2">
        <v>85600</v>
      </c>
      <c r="X14" s="10">
        <f t="shared" si="15"/>
        <v>26072.429776000001</v>
      </c>
      <c r="Y14" s="10">
        <f t="shared" si="16"/>
        <v>20394.8966984</v>
      </c>
      <c r="Z14" s="10">
        <f t="shared" si="17"/>
        <v>39132.673525600003</v>
      </c>
      <c r="AA14" s="2">
        <v>16999.419999999998</v>
      </c>
      <c r="AB14" s="10">
        <f t="shared" si="18"/>
        <v>5177.7591610131994</v>
      </c>
      <c r="AC14" s="10">
        <f t="shared" si="19"/>
        <v>4050.2501732793799</v>
      </c>
      <c r="AD14" s="14">
        <f t="shared" si="20"/>
        <v>7771.4106657074199</v>
      </c>
      <c r="AE14" s="2">
        <v>67000</v>
      </c>
      <c r="AF14" s="10">
        <f t="shared" si="21"/>
        <v>20407.158820000001</v>
      </c>
      <c r="AG14" s="10">
        <f t="shared" si="22"/>
        <v>15963.295313000001</v>
      </c>
      <c r="AH14" s="10">
        <f t="shared" si="23"/>
        <v>30629.545867000001</v>
      </c>
      <c r="AI14" s="2"/>
      <c r="AJ14" s="5">
        <f t="shared" si="24"/>
        <v>11627.34</v>
      </c>
      <c r="AK14" s="10">
        <f t="shared" si="25"/>
        <v>3541.5070751364001</v>
      </c>
      <c r="AL14" s="10">
        <f t="shared" si="26"/>
        <v>2770.3083899202602</v>
      </c>
      <c r="AM14" s="10">
        <f t="shared" si="27"/>
        <v>5315.5245349433399</v>
      </c>
      <c r="AN14" s="2"/>
      <c r="AO14" s="2">
        <f t="shared" si="28"/>
        <v>864961.76</v>
      </c>
      <c r="AP14" s="10">
        <f t="shared" si="29"/>
        <v>263453.91059024958</v>
      </c>
      <c r="AQ14" s="10">
        <f t="shared" si="30"/>
        <v>206084.17924376464</v>
      </c>
      <c r="AR14" s="10">
        <f t="shared" si="31"/>
        <v>395423.67016598576</v>
      </c>
      <c r="AS14" s="6">
        <f t="shared" si="32"/>
        <v>-18129.840000000026</v>
      </c>
      <c r="AT14" s="14">
        <f t="shared" si="33"/>
        <v>-5522.0675262864079</v>
      </c>
      <c r="AU14" s="14">
        <f t="shared" si="34"/>
        <v>-4319.5819387677666</v>
      </c>
      <c r="AV14" s="14">
        <f t="shared" si="35"/>
        <v>-8288.1905349458521</v>
      </c>
    </row>
    <row r="15" spans="1:49" x14ac:dyDescent="0.25">
      <c r="A15" s="4">
        <v>42675</v>
      </c>
      <c r="B15" s="2">
        <v>156282.70000000001</v>
      </c>
      <c r="C15" s="10">
        <f t="shared" si="0"/>
        <v>47601.281786842002</v>
      </c>
      <c r="D15" s="10">
        <f t="shared" si="1"/>
        <v>37235.625259895307</v>
      </c>
      <c r="E15" s="10">
        <f t="shared" si="2"/>
        <v>71445.792953262702</v>
      </c>
      <c r="F15" s="19">
        <v>802719.91</v>
      </c>
      <c r="G15" s="12">
        <f t="shared" si="3"/>
        <v>244496.01031859862</v>
      </c>
      <c r="H15" s="12">
        <f t="shared" si="4"/>
        <v>191254.55189484751</v>
      </c>
      <c r="I15" s="12">
        <f t="shared" si="5"/>
        <v>366969.34778655396</v>
      </c>
      <c r="J15" s="19">
        <v>552790</v>
      </c>
      <c r="K15" s="15">
        <f t="shared" si="6"/>
        <v>168371.2436434</v>
      </c>
      <c r="L15" s="15">
        <f t="shared" si="7"/>
        <v>131706.71665781</v>
      </c>
      <c r="M15" s="15">
        <f t="shared" si="8"/>
        <v>252712.03969879</v>
      </c>
      <c r="N15" s="5"/>
      <c r="O15" s="20">
        <f>309358+9700+2685+38892</f>
        <v>360635</v>
      </c>
      <c r="P15" s="10">
        <f t="shared" si="9"/>
        <v>109843.81673210001</v>
      </c>
      <c r="Q15" s="10">
        <f t="shared" si="10"/>
        <v>85924.223958265007</v>
      </c>
      <c r="R15" s="10">
        <f t="shared" si="11"/>
        <v>164866.95930963501</v>
      </c>
      <c r="S15" s="2">
        <v>49397</v>
      </c>
      <c r="T15" s="16">
        <f t="shared" si="12"/>
        <v>15045.55857062</v>
      </c>
      <c r="U15" s="16">
        <f t="shared" si="13"/>
        <v>11769.237292183001</v>
      </c>
      <c r="V15" s="16">
        <f t="shared" si="14"/>
        <v>22582.204137197001</v>
      </c>
      <c r="W15" s="2">
        <v>85600</v>
      </c>
      <c r="X15" s="10">
        <f t="shared" si="15"/>
        <v>26072.429776000001</v>
      </c>
      <c r="Y15" s="10">
        <f t="shared" si="16"/>
        <v>20394.8966984</v>
      </c>
      <c r="Z15" s="10">
        <f t="shared" si="17"/>
        <v>39132.673525600003</v>
      </c>
      <c r="AA15" s="2">
        <v>16999.419999999998</v>
      </c>
      <c r="AB15" s="10">
        <f t="shared" si="18"/>
        <v>5177.7591610131994</v>
      </c>
      <c r="AC15" s="10">
        <f t="shared" si="19"/>
        <v>4050.2501732793799</v>
      </c>
      <c r="AD15" s="14">
        <f t="shared" si="20"/>
        <v>7771.4106657074199</v>
      </c>
      <c r="AE15" s="2">
        <v>67000</v>
      </c>
      <c r="AF15" s="10">
        <f t="shared" si="21"/>
        <v>20407.158820000001</v>
      </c>
      <c r="AG15" s="10">
        <f t="shared" si="22"/>
        <v>15963.295313000001</v>
      </c>
      <c r="AH15" s="10">
        <f t="shared" si="23"/>
        <v>30629.545867000001</v>
      </c>
      <c r="AI15" s="2"/>
      <c r="AJ15" s="5">
        <f t="shared" si="24"/>
        <v>11055.800000000001</v>
      </c>
      <c r="AK15" s="10">
        <f t="shared" si="25"/>
        <v>3367.4248728680004</v>
      </c>
      <c r="AL15" s="10">
        <f t="shared" si="26"/>
        <v>2634.1343331562002</v>
      </c>
      <c r="AM15" s="10">
        <f t="shared" si="27"/>
        <v>5054.2407939758004</v>
      </c>
      <c r="AN15" s="2"/>
      <c r="AO15" s="2">
        <f t="shared" si="28"/>
        <v>590687.22</v>
      </c>
      <c r="AP15" s="10">
        <f t="shared" si="29"/>
        <v>179914.14793260119</v>
      </c>
      <c r="AQ15" s="10">
        <f t="shared" si="30"/>
        <v>140736.03776828357</v>
      </c>
      <c r="AR15" s="10">
        <f t="shared" si="31"/>
        <v>270037.03429911524</v>
      </c>
      <c r="AS15" s="6">
        <f t="shared" si="32"/>
        <v>118385.48000000004</v>
      </c>
      <c r="AT15" s="14">
        <f t="shared" si="33"/>
        <v>36058.377497640809</v>
      </c>
      <c r="AU15" s="14">
        <f t="shared" si="34"/>
        <v>28206.304149421729</v>
      </c>
      <c r="AV15" s="14">
        <f t="shared" si="35"/>
        <v>54120.798352937498</v>
      </c>
    </row>
    <row r="16" spans="1:49" x14ac:dyDescent="0.25">
      <c r="A16" s="4">
        <v>42705</v>
      </c>
      <c r="B16" s="2">
        <v>87179.67</v>
      </c>
      <c r="C16" s="10">
        <f t="shared" si="0"/>
        <v>26553.572709928201</v>
      </c>
      <c r="D16" s="10">
        <f t="shared" si="1"/>
        <v>20771.265932834129</v>
      </c>
      <c r="E16" s="10">
        <f t="shared" si="2"/>
        <v>39854.831357237672</v>
      </c>
      <c r="F16" s="19">
        <v>802719.91</v>
      </c>
      <c r="G16" s="12">
        <f t="shared" si="3"/>
        <v>244496.01031859862</v>
      </c>
      <c r="H16" s="12">
        <f t="shared" si="4"/>
        <v>191254.55189484751</v>
      </c>
      <c r="I16" s="12">
        <f t="shared" si="5"/>
        <v>366969.34778655396</v>
      </c>
      <c r="J16" s="19">
        <v>789261</v>
      </c>
      <c r="K16" s="15">
        <f t="shared" si="6"/>
        <v>240396.63548406001</v>
      </c>
      <c r="L16" s="15">
        <f t="shared" si="7"/>
        <v>188047.857045279</v>
      </c>
      <c r="M16" s="15">
        <f t="shared" si="8"/>
        <v>360816.50747066102</v>
      </c>
      <c r="N16" s="5"/>
      <c r="O16" s="20">
        <f>309358+13697+1.22</f>
        <v>323056.21999999997</v>
      </c>
      <c r="P16" s="10">
        <f t="shared" si="9"/>
        <v>98397.904318341185</v>
      </c>
      <c r="Q16" s="10">
        <f t="shared" si="10"/>
        <v>76970.773769574575</v>
      </c>
      <c r="R16" s="10">
        <f t="shared" si="11"/>
        <v>147687.54191208421</v>
      </c>
      <c r="S16" s="2">
        <v>82998</v>
      </c>
      <c r="T16" s="16">
        <f t="shared" si="12"/>
        <v>25279.901011080001</v>
      </c>
      <c r="U16" s="16">
        <f t="shared" si="13"/>
        <v>19774.949020722001</v>
      </c>
      <c r="V16" s="16">
        <f t="shared" si="14"/>
        <v>37943.149968197999</v>
      </c>
      <c r="W16" s="2">
        <v>85600</v>
      </c>
      <c r="X16" s="10">
        <f t="shared" si="15"/>
        <v>26072.429776000001</v>
      </c>
      <c r="Y16" s="10">
        <f t="shared" si="16"/>
        <v>20394.8966984</v>
      </c>
      <c r="Z16" s="10">
        <f t="shared" si="17"/>
        <v>39132.673525600003</v>
      </c>
      <c r="AA16" s="2">
        <v>16999.419999999998</v>
      </c>
      <c r="AB16" s="10">
        <f t="shared" si="18"/>
        <v>5177.7591610131994</v>
      </c>
      <c r="AC16" s="10">
        <f t="shared" si="19"/>
        <v>4050.2501732793799</v>
      </c>
      <c r="AD16" s="14">
        <f t="shared" si="20"/>
        <v>7771.4106657074199</v>
      </c>
      <c r="AE16" s="2">
        <v>72000</v>
      </c>
      <c r="AF16" s="10">
        <f t="shared" si="21"/>
        <v>21930.081119999999</v>
      </c>
      <c r="AG16" s="10">
        <f t="shared" si="22"/>
        <v>17154.586008000002</v>
      </c>
      <c r="AH16" s="10">
        <f t="shared" si="23"/>
        <v>32915.332871999999</v>
      </c>
      <c r="AI16" s="2"/>
      <c r="AJ16" s="5">
        <f t="shared" si="24"/>
        <v>15785.220000000001</v>
      </c>
      <c r="AK16" s="10">
        <f t="shared" si="25"/>
        <v>4807.9327096812003</v>
      </c>
      <c r="AL16" s="10">
        <f t="shared" si="26"/>
        <v>3760.9571409055802</v>
      </c>
      <c r="AM16" s="10">
        <f t="shared" si="27"/>
        <v>7216.3301494132211</v>
      </c>
      <c r="AN16" s="2">
        <v>0</v>
      </c>
      <c r="AO16" s="2">
        <f t="shared" si="28"/>
        <v>596438.86</v>
      </c>
      <c r="AP16" s="10">
        <f t="shared" si="29"/>
        <v>181666.00809611561</v>
      </c>
      <c r="AQ16" s="10">
        <f t="shared" si="30"/>
        <v>142106.41281088153</v>
      </c>
      <c r="AR16" s="10">
        <f t="shared" si="31"/>
        <v>272666.43909300287</v>
      </c>
      <c r="AS16" s="6">
        <f t="shared" si="32"/>
        <v>280001.81</v>
      </c>
      <c r="AT16" s="14">
        <f t="shared" si="33"/>
        <v>85284.200097872599</v>
      </c>
      <c r="AU16" s="14">
        <f t="shared" si="34"/>
        <v>66712.710167231591</v>
      </c>
      <c r="AV16" s="14">
        <f t="shared" si="35"/>
        <v>128004.89973489581</v>
      </c>
    </row>
    <row r="17" spans="1:48" x14ac:dyDescent="0.25">
      <c r="A17" s="4" t="s">
        <v>4</v>
      </c>
      <c r="B17" s="2">
        <f>SUM(B5:B16)</f>
        <v>-874432.15</v>
      </c>
      <c r="C17" s="10">
        <f t="shared" si="0"/>
        <v>-266338.44421438902</v>
      </c>
      <c r="D17" s="10">
        <f t="shared" si="1"/>
        <v>-208340.57674076885</v>
      </c>
      <c r="E17" s="10">
        <f t="shared" si="2"/>
        <v>-399753.12904484215</v>
      </c>
      <c r="F17" s="2">
        <f>SUM(F5:F16)</f>
        <v>9011486.370000001</v>
      </c>
      <c r="G17" s="13">
        <v>2469140</v>
      </c>
      <c r="H17" s="13">
        <v>1931460</v>
      </c>
      <c r="I17" s="13">
        <v>3705985.6</v>
      </c>
      <c r="J17" s="6">
        <f>SUM(J5:J16)</f>
        <v>7631654</v>
      </c>
      <c r="K17" s="15">
        <f t="shared" si="6"/>
        <v>2324483.2124968399</v>
      </c>
      <c r="L17" s="15">
        <f t="shared" si="7"/>
        <v>1818303.679531906</v>
      </c>
      <c r="M17" s="15">
        <f t="shared" si="8"/>
        <v>3488867.1079712543</v>
      </c>
      <c r="N17" s="5">
        <f t="shared" ref="N17" si="36">J17/F17*100</f>
        <v>84.688071275416007</v>
      </c>
      <c r="O17" s="2">
        <f>SUM(O5:O16)</f>
        <v>4305196.22</v>
      </c>
      <c r="P17" s="10">
        <f t="shared" si="9"/>
        <v>1311295.8658627411</v>
      </c>
      <c r="Q17" s="10">
        <f t="shared" si="10"/>
        <v>1025748.0394070345</v>
      </c>
      <c r="R17" s="10">
        <f t="shared" si="11"/>
        <v>1968152.3147302242</v>
      </c>
      <c r="S17" s="2">
        <f>SUM(S5:S16)</f>
        <v>1262238</v>
      </c>
      <c r="T17" s="16">
        <f t="shared" si="12"/>
        <v>384458.07962148002</v>
      </c>
      <c r="U17" s="16">
        <f t="shared" si="13"/>
        <v>300738.47685508203</v>
      </c>
      <c r="V17" s="16">
        <f t="shared" si="14"/>
        <v>577041.44352343807</v>
      </c>
      <c r="W17" s="2">
        <f>SUM(W5:W16)</f>
        <v>1027200</v>
      </c>
      <c r="X17" s="10">
        <f t="shared" si="15"/>
        <v>312869.157312</v>
      </c>
      <c r="Y17" s="10">
        <f t="shared" si="16"/>
        <v>244738.7603808</v>
      </c>
      <c r="Z17" s="10">
        <f t="shared" si="17"/>
        <v>469592.08230720001</v>
      </c>
      <c r="AA17" s="2">
        <f>SUM(AA5:AA16)</f>
        <v>203993.01999999996</v>
      </c>
      <c r="AB17" s="10">
        <f t="shared" si="18"/>
        <v>62133.103840469186</v>
      </c>
      <c r="AC17" s="10">
        <f t="shared" si="19"/>
        <v>48602.997314189772</v>
      </c>
      <c r="AD17" s="14">
        <f t="shared" si="20"/>
        <v>93256.918845341002</v>
      </c>
      <c r="AE17" s="2">
        <f>SUM(AE5:AE16)</f>
        <v>809000</v>
      </c>
      <c r="AF17" s="10">
        <f t="shared" si="21"/>
        <v>246408.82814</v>
      </c>
      <c r="AG17" s="10">
        <f t="shared" si="22"/>
        <v>192750.834451</v>
      </c>
      <c r="AH17" s="10">
        <f t="shared" si="23"/>
        <v>369840.33740900003</v>
      </c>
      <c r="AI17" s="2"/>
      <c r="AJ17" s="5">
        <f t="shared" ref="AJ17:AN17" si="37">SUM(AJ5:AJ16)</f>
        <v>152633.07999999996</v>
      </c>
      <c r="AK17" s="10">
        <f t="shared" si="25"/>
        <v>46489.664249936788</v>
      </c>
      <c r="AL17" s="10">
        <f t="shared" si="26"/>
        <v>36366.073590638109</v>
      </c>
      <c r="AM17" s="10">
        <f t="shared" si="27"/>
        <v>69777.342159425069</v>
      </c>
      <c r="AN17" s="2">
        <f t="shared" si="37"/>
        <v>0</v>
      </c>
      <c r="AO17" s="5">
        <f>AN17+AJ17+AI17+AE17+AA17+W17+S17+O17</f>
        <v>7760260.3199999994</v>
      </c>
      <c r="AP17" s="10">
        <f t="shared" si="29"/>
        <v>2363654.699026627</v>
      </c>
      <c r="AQ17" s="10">
        <f t="shared" si="30"/>
        <v>1848945.1819987444</v>
      </c>
      <c r="AR17" s="10">
        <f t="shared" si="31"/>
        <v>3547660.4389746282</v>
      </c>
      <c r="AS17" s="23">
        <f t="shared" si="32"/>
        <v>-1003038.4699999994</v>
      </c>
      <c r="AT17" s="14">
        <f t="shared" si="33"/>
        <v>-305509.93074417603</v>
      </c>
      <c r="AU17" s="14">
        <f t="shared" si="34"/>
        <v>-238982.0792076072</v>
      </c>
      <c r="AV17" s="14">
        <f t="shared" si="35"/>
        <v>-458546.46004821622</v>
      </c>
    </row>
    <row r="18" spans="1:48" x14ac:dyDescent="0.25">
      <c r="A18" s="8"/>
      <c r="B18" s="8"/>
      <c r="C18" s="8"/>
      <c r="D18" s="8"/>
      <c r="E18" s="8"/>
    </row>
    <row r="19" spans="1:48" x14ac:dyDescent="0.25">
      <c r="A19" s="8"/>
      <c r="B19" s="8"/>
      <c r="C19" s="8"/>
      <c r="D19" s="8"/>
      <c r="E19" s="8"/>
    </row>
    <row r="20" spans="1:48" x14ac:dyDescent="0.25">
      <c r="A20" s="8"/>
      <c r="B20" s="8"/>
      <c r="C20" s="8"/>
      <c r="D20" s="8"/>
      <c r="E20" s="8"/>
    </row>
    <row r="21" spans="1:48" x14ac:dyDescent="0.25">
      <c r="O21" s="1" t="s">
        <v>5</v>
      </c>
    </row>
    <row r="22" spans="1:48" ht="123.75" customHeight="1" x14ac:dyDescent="0.25">
      <c r="A22" s="2" t="s">
        <v>11</v>
      </c>
      <c r="B22" s="3" t="s">
        <v>12</v>
      </c>
      <c r="C22" s="11" t="s">
        <v>21</v>
      </c>
      <c r="D22" s="11" t="s">
        <v>22</v>
      </c>
      <c r="E22" s="11" t="s">
        <v>23</v>
      </c>
      <c r="F22" s="3" t="s">
        <v>34</v>
      </c>
      <c r="G22" s="11" t="s">
        <v>21</v>
      </c>
      <c r="H22" s="11" t="s">
        <v>22</v>
      </c>
      <c r="I22" s="11" t="s">
        <v>23</v>
      </c>
      <c r="J22" s="3" t="s">
        <v>25</v>
      </c>
      <c r="K22" s="11" t="s">
        <v>21</v>
      </c>
      <c r="L22" s="11" t="s">
        <v>22</v>
      </c>
      <c r="M22" s="11" t="s">
        <v>23</v>
      </c>
      <c r="N22" s="3" t="s">
        <v>2</v>
      </c>
      <c r="O22" s="3" t="s">
        <v>33</v>
      </c>
      <c r="P22" s="11" t="s">
        <v>21</v>
      </c>
      <c r="Q22" s="11" t="s">
        <v>22</v>
      </c>
      <c r="R22" s="11" t="s">
        <v>23</v>
      </c>
      <c r="S22" s="3" t="s">
        <v>35</v>
      </c>
      <c r="T22" s="11" t="s">
        <v>21</v>
      </c>
      <c r="U22" s="11" t="s">
        <v>22</v>
      </c>
      <c r="V22" s="11" t="s">
        <v>23</v>
      </c>
      <c r="W22" s="3" t="s">
        <v>31</v>
      </c>
      <c r="X22" s="11" t="s">
        <v>21</v>
      </c>
      <c r="Y22" s="11" t="s">
        <v>22</v>
      </c>
      <c r="Z22" s="11" t="s">
        <v>23</v>
      </c>
      <c r="AA22" s="3" t="s">
        <v>36</v>
      </c>
      <c r="AB22" s="11" t="s">
        <v>21</v>
      </c>
      <c r="AC22" s="11" t="s">
        <v>22</v>
      </c>
      <c r="AD22" s="11" t="s">
        <v>23</v>
      </c>
      <c r="AE22" s="3" t="s">
        <v>37</v>
      </c>
      <c r="AF22" s="11" t="s">
        <v>21</v>
      </c>
      <c r="AG22" s="11" t="s">
        <v>22</v>
      </c>
      <c r="AH22" s="11" t="s">
        <v>23</v>
      </c>
      <c r="AI22" s="3" t="s">
        <v>13</v>
      </c>
      <c r="AJ22" s="11" t="s">
        <v>21</v>
      </c>
      <c r="AK22" s="11" t="s">
        <v>22</v>
      </c>
      <c r="AL22" s="11" t="s">
        <v>23</v>
      </c>
      <c r="AM22" s="3" t="s">
        <v>7</v>
      </c>
      <c r="AN22" s="11" t="s">
        <v>21</v>
      </c>
      <c r="AO22" s="11" t="s">
        <v>22</v>
      </c>
      <c r="AP22" s="11" t="s">
        <v>23</v>
      </c>
      <c r="AQ22" s="3" t="s">
        <v>6</v>
      </c>
      <c r="AR22" s="11" t="s">
        <v>21</v>
      </c>
      <c r="AS22" s="11" t="s">
        <v>22</v>
      </c>
      <c r="AT22" s="11" t="s">
        <v>23</v>
      </c>
    </row>
    <row r="23" spans="1:48" x14ac:dyDescent="0.25">
      <c r="A23" s="4">
        <v>42370</v>
      </c>
      <c r="B23" s="24">
        <v>-45904.59</v>
      </c>
      <c r="C23" s="16">
        <f>B23*0.3153627</f>
        <v>-14476.595444792998</v>
      </c>
      <c r="D23" s="16">
        <f>B23*0.2505416</f>
        <v>-11501.009425943997</v>
      </c>
      <c r="E23" s="16">
        <f>B23*0.4340958</f>
        <v>-19926.989719721998</v>
      </c>
      <c r="F23" s="19">
        <v>30651</v>
      </c>
      <c r="G23" s="18">
        <f>F23*0.3153627</f>
        <v>9666.1821177000002</v>
      </c>
      <c r="H23" s="18">
        <f>F23*0.2505416</f>
        <v>7679.3505815999988</v>
      </c>
      <c r="I23" s="18">
        <f>F23*0.43409579</f>
        <v>13305.470059289999</v>
      </c>
      <c r="J23" s="19">
        <v>27404.080000000002</v>
      </c>
      <c r="K23" s="18">
        <f>J23*0.3153627</f>
        <v>8642.224659816</v>
      </c>
      <c r="L23" s="18">
        <f>J23*0.2505416</f>
        <v>6865.8620497279999</v>
      </c>
      <c r="M23" s="18">
        <f>J23*0.43409579</f>
        <v>11895.9957568232</v>
      </c>
      <c r="N23" s="5"/>
      <c r="O23" s="21">
        <v>8750</v>
      </c>
      <c r="P23" s="14">
        <f>O23*0.3153627</f>
        <v>2759.4236249999999</v>
      </c>
      <c r="Q23" s="14">
        <f>O23*0.2505416</f>
        <v>2192.2389999999996</v>
      </c>
      <c r="R23" s="14">
        <f>O23*0.43409579</f>
        <v>3798.3381624999997</v>
      </c>
      <c r="S23" s="2"/>
      <c r="T23" s="10">
        <f>S23*0.3153627</f>
        <v>0</v>
      </c>
      <c r="U23" s="10">
        <f>S23*0.2505416</f>
        <v>0</v>
      </c>
      <c r="V23" s="10">
        <f>S23*0.43409579</f>
        <v>0</v>
      </c>
      <c r="W23" s="5">
        <f>J23*2%</f>
        <v>548.08160000000009</v>
      </c>
      <c r="X23" s="10">
        <f>W23*0.3153627</f>
        <v>172.84449319632003</v>
      </c>
      <c r="Y23" s="10">
        <f>W23*0.2505416</f>
        <v>137.31724099456002</v>
      </c>
      <c r="Z23" s="10">
        <f>W23*0.43409579</f>
        <v>237.91991513646403</v>
      </c>
      <c r="AA23" s="2"/>
      <c r="AB23" s="14">
        <f>AA23*0.3153627</f>
        <v>0</v>
      </c>
      <c r="AC23" s="14">
        <f>AA23*0.2505416</f>
        <v>0</v>
      </c>
      <c r="AD23" s="10">
        <f>AA23*0.43409579</f>
        <v>0</v>
      </c>
      <c r="AE23" s="2"/>
      <c r="AF23" s="17">
        <v>0</v>
      </c>
      <c r="AG23" s="17">
        <v>0</v>
      </c>
      <c r="AH23" s="17">
        <v>0</v>
      </c>
      <c r="AI23" s="2"/>
      <c r="AJ23" s="2"/>
      <c r="AK23" s="2"/>
      <c r="AL23" s="2"/>
      <c r="AM23" s="5">
        <f>O23+S23+W23+AA23+AE23+AI23</f>
        <v>9298.0815999999995</v>
      </c>
      <c r="AN23" s="10">
        <f>AM23*0.3153627</f>
        <v>2932.2681181963198</v>
      </c>
      <c r="AO23" s="10">
        <f>AM23*0.2505416</f>
        <v>2329.5562409945596</v>
      </c>
      <c r="AP23" s="10">
        <f>AM23*0.43409579</f>
        <v>4036.2580776364634</v>
      </c>
      <c r="AQ23" s="6">
        <f t="shared" ref="AQ23:AQ35" si="38">J23-AM23+B23</f>
        <v>-27798.591599999992</v>
      </c>
      <c r="AR23" s="10">
        <f>AQ23*0.3153627</f>
        <v>-8766.6389031733179</v>
      </c>
      <c r="AS23" s="10">
        <f>AQ23*0.2505416</f>
        <v>-6964.7036172105572</v>
      </c>
      <c r="AT23" s="10">
        <f>AQ23*0.43409579</f>
        <v>-12067.25158148936</v>
      </c>
    </row>
    <row r="24" spans="1:48" x14ac:dyDescent="0.25">
      <c r="A24" s="4">
        <v>42401</v>
      </c>
      <c r="B24" s="24">
        <v>-131885.06</v>
      </c>
      <c r="C24" s="16">
        <f t="shared" ref="C24:C35" si="39">B24*0.3153627</f>
        <v>-41591.628611262</v>
      </c>
      <c r="D24" s="16">
        <f t="shared" ref="D24:D35" si="40">B24*0.2505416</f>
        <v>-33042.693948495995</v>
      </c>
      <c r="E24" s="16">
        <f t="shared" ref="E24:E35" si="41">B24*0.4340958</f>
        <v>-57250.750628747999</v>
      </c>
      <c r="F24" s="19">
        <v>30651</v>
      </c>
      <c r="G24" s="18">
        <f t="shared" ref="G24:G35" si="42">F24*0.3153627</f>
        <v>9666.1821177000002</v>
      </c>
      <c r="H24" s="18">
        <f t="shared" ref="H24:H35" si="43">F24*0.2505416</f>
        <v>7679.3505815999988</v>
      </c>
      <c r="I24" s="18">
        <f t="shared" ref="I24:I35" si="44">F24*0.43409579</f>
        <v>13305.470059289999</v>
      </c>
      <c r="J24" s="19">
        <v>27404.080000000002</v>
      </c>
      <c r="K24" s="18">
        <f t="shared" ref="K24:K35" si="45">J24*0.3153627</f>
        <v>8642.224659816</v>
      </c>
      <c r="L24" s="18">
        <f t="shared" ref="L24:L35" si="46">J24*0.2505416</f>
        <v>6865.8620497279999</v>
      </c>
      <c r="M24" s="18">
        <f t="shared" ref="M24:M35" si="47">J24*0.43409579</f>
        <v>11895.9957568232</v>
      </c>
      <c r="N24" s="5"/>
      <c r="O24" s="21">
        <v>8750</v>
      </c>
      <c r="P24" s="14">
        <f t="shared" ref="P24:P35" si="48">O24*0.3153627</f>
        <v>2759.4236249999999</v>
      </c>
      <c r="Q24" s="14">
        <f t="shared" ref="Q24:Q35" si="49">O24*0.2505416</f>
        <v>2192.2389999999996</v>
      </c>
      <c r="R24" s="14">
        <f t="shared" ref="R24:R35" si="50">O24*0.43409579</f>
        <v>3798.3381624999997</v>
      </c>
      <c r="S24" s="2">
        <v>3630</v>
      </c>
      <c r="T24" s="10">
        <f t="shared" ref="T24:T35" si="51">S24*0.3153627</f>
        <v>1144.766601</v>
      </c>
      <c r="U24" s="10">
        <f t="shared" ref="U24:U35" si="52">S24*0.2505416</f>
        <v>909.46600799999987</v>
      </c>
      <c r="V24" s="10">
        <f t="shared" ref="V24:V35" si="53">S24*0.43409579</f>
        <v>1575.7677176999998</v>
      </c>
      <c r="W24" s="5">
        <f t="shared" ref="W24:W34" si="54">J24*2%</f>
        <v>548.08160000000009</v>
      </c>
      <c r="X24" s="10">
        <f t="shared" ref="X24:X35" si="55">W24*0.3153627</f>
        <v>172.84449319632003</v>
      </c>
      <c r="Y24" s="10">
        <f t="shared" ref="Y24:Y35" si="56">W24*0.2505416</f>
        <v>137.31724099456002</v>
      </c>
      <c r="Z24" s="10">
        <f t="shared" ref="Z24:Z35" si="57">W24*0.43409579</f>
        <v>237.91991513646403</v>
      </c>
      <c r="AA24" s="2">
        <v>4998</v>
      </c>
      <c r="AB24" s="14">
        <f t="shared" ref="AB24:AB35" si="58">AA24*0.3153627</f>
        <v>1576.1827745999999</v>
      </c>
      <c r="AC24" s="14">
        <f t="shared" ref="AC24:AC35" si="59">AA24*0.2505416</f>
        <v>1252.2069167999998</v>
      </c>
      <c r="AD24" s="10">
        <f t="shared" ref="AD24:AD35" si="60">AA24*0.43409579</f>
        <v>2169.6107584199999</v>
      </c>
      <c r="AE24" s="2"/>
      <c r="AF24" s="10">
        <f>AE24*0.3153627</f>
        <v>0</v>
      </c>
      <c r="AG24" s="10">
        <f>AE24*0.2505416</f>
        <v>0</v>
      </c>
      <c r="AH24" s="10">
        <f>AE24*0.43409579</f>
        <v>0</v>
      </c>
      <c r="AI24" s="2"/>
      <c r="AJ24" s="2"/>
      <c r="AK24" s="2"/>
      <c r="AL24" s="2"/>
      <c r="AM24" s="5">
        <f t="shared" ref="AM24:AM35" si="61">O24+S24+W24+AA24+AE24+AI24</f>
        <v>17926.081599999998</v>
      </c>
      <c r="AN24" s="10">
        <f t="shared" ref="AN24:AN35" si="62">AM24*0.3153627</f>
        <v>5653.2174937963191</v>
      </c>
      <c r="AO24" s="10">
        <f t="shared" ref="AO24:AO35" si="63">AM24*0.2505416</f>
        <v>4491.2291657945589</v>
      </c>
      <c r="AP24" s="10">
        <f t="shared" ref="AP24:AP35" si="64">AM24*0.43409579</f>
        <v>7781.6365537564625</v>
      </c>
      <c r="AQ24" s="6">
        <f t="shared" si="38"/>
        <v>-122407.06159999999</v>
      </c>
      <c r="AR24" s="10">
        <f t="shared" ref="AR24:AR35" si="65">AQ24*0.3153627</f>
        <v>-38602.621445242316</v>
      </c>
      <c r="AS24" s="10">
        <f t="shared" ref="AS24:AS35" si="66">AQ24*0.2505416</f>
        <v>-30668.061064562553</v>
      </c>
      <c r="AT24" s="10">
        <f t="shared" ref="AT24:AT35" si="67">AQ24*0.43409579</f>
        <v>-53136.390106830659</v>
      </c>
    </row>
    <row r="25" spans="1:48" x14ac:dyDescent="0.25">
      <c r="A25" s="4">
        <v>42430</v>
      </c>
      <c r="B25" s="24">
        <v>15095.83</v>
      </c>
      <c r="C25" s="16">
        <f t="shared" si="39"/>
        <v>4760.6617075409995</v>
      </c>
      <c r="D25" s="16">
        <f t="shared" si="40"/>
        <v>3782.1334015279995</v>
      </c>
      <c r="E25" s="16">
        <f t="shared" si="41"/>
        <v>6553.036400514</v>
      </c>
      <c r="F25" s="19">
        <v>30651</v>
      </c>
      <c r="G25" s="18">
        <f t="shared" si="42"/>
        <v>9666.1821177000002</v>
      </c>
      <c r="H25" s="18">
        <f t="shared" si="43"/>
        <v>7679.3505815999988</v>
      </c>
      <c r="I25" s="18">
        <f t="shared" si="44"/>
        <v>13305.470059289999</v>
      </c>
      <c r="J25" s="19">
        <v>27404.080000000002</v>
      </c>
      <c r="K25" s="18">
        <f t="shared" si="45"/>
        <v>8642.224659816</v>
      </c>
      <c r="L25" s="18">
        <f t="shared" si="46"/>
        <v>6865.8620497279999</v>
      </c>
      <c r="M25" s="18">
        <f t="shared" si="47"/>
        <v>11895.9957568232</v>
      </c>
      <c r="N25" s="5"/>
      <c r="O25" s="21">
        <v>8750</v>
      </c>
      <c r="P25" s="14">
        <f t="shared" si="48"/>
        <v>2759.4236249999999</v>
      </c>
      <c r="Q25" s="14">
        <f t="shared" si="49"/>
        <v>2192.2389999999996</v>
      </c>
      <c r="R25" s="14">
        <f t="shared" si="50"/>
        <v>3798.3381624999997</v>
      </c>
      <c r="S25" s="2">
        <v>42062</v>
      </c>
      <c r="T25" s="10">
        <f t="shared" si="51"/>
        <v>13264.785887399999</v>
      </c>
      <c r="U25" s="10">
        <f t="shared" si="52"/>
        <v>10538.280779199999</v>
      </c>
      <c r="V25" s="10">
        <f t="shared" si="53"/>
        <v>18258.93711898</v>
      </c>
      <c r="W25" s="5">
        <f t="shared" si="54"/>
        <v>548.08160000000009</v>
      </c>
      <c r="X25" s="10">
        <f t="shared" si="55"/>
        <v>172.84449319632003</v>
      </c>
      <c r="Y25" s="10">
        <f t="shared" si="56"/>
        <v>137.31724099456002</v>
      </c>
      <c r="Z25" s="10">
        <f t="shared" si="57"/>
        <v>237.91991513646403</v>
      </c>
      <c r="AA25" s="2">
        <v>25804</v>
      </c>
      <c r="AB25" s="14">
        <f t="shared" si="58"/>
        <v>8137.6191108000003</v>
      </c>
      <c r="AC25" s="14">
        <f t="shared" si="59"/>
        <v>6464.9754463999998</v>
      </c>
      <c r="AD25" s="10">
        <f t="shared" si="60"/>
        <v>11201.40776516</v>
      </c>
      <c r="AE25" s="2"/>
      <c r="AF25" s="14">
        <f t="shared" ref="AF25:AF35" si="68">AE25*0.3153627</f>
        <v>0</v>
      </c>
      <c r="AG25" s="14">
        <f t="shared" ref="AG25:AG35" si="69">AE25*0.2505416</f>
        <v>0</v>
      </c>
      <c r="AH25" s="14">
        <f t="shared" ref="AH25:AH35" si="70">AE25*0.43409579</f>
        <v>0</v>
      </c>
      <c r="AI25" s="2"/>
      <c r="AJ25" s="2"/>
      <c r="AK25" s="2"/>
      <c r="AL25" s="2"/>
      <c r="AM25" s="5">
        <f t="shared" si="61"/>
        <v>77164.081600000005</v>
      </c>
      <c r="AN25" s="10">
        <f t="shared" si="62"/>
        <v>24334.67311639632</v>
      </c>
      <c r="AO25" s="10">
        <f t="shared" si="63"/>
        <v>19332.812466594558</v>
      </c>
      <c r="AP25" s="10">
        <f t="shared" si="64"/>
        <v>33496.602961776465</v>
      </c>
      <c r="AQ25" s="6">
        <f t="shared" si="38"/>
        <v>-34664.171600000001</v>
      </c>
      <c r="AR25" s="10">
        <f t="shared" si="65"/>
        <v>-10931.78674903932</v>
      </c>
      <c r="AS25" s="10">
        <f t="shared" si="66"/>
        <v>-8684.8170153385599</v>
      </c>
      <c r="AT25" s="10">
        <f t="shared" si="67"/>
        <v>-15047.570955397565</v>
      </c>
    </row>
    <row r="26" spans="1:48" x14ac:dyDescent="0.25">
      <c r="A26" s="4">
        <v>42461</v>
      </c>
      <c r="B26" s="24">
        <v>34209.599999999999</v>
      </c>
      <c r="C26" s="16">
        <f t="shared" si="39"/>
        <v>10788.431821919999</v>
      </c>
      <c r="D26" s="16">
        <f t="shared" si="40"/>
        <v>8570.9279193599996</v>
      </c>
      <c r="E26" s="16">
        <f t="shared" si="41"/>
        <v>14850.243679679999</v>
      </c>
      <c r="F26" s="19">
        <v>30651</v>
      </c>
      <c r="G26" s="18">
        <f t="shared" si="42"/>
        <v>9666.1821177000002</v>
      </c>
      <c r="H26" s="18">
        <f t="shared" si="43"/>
        <v>7679.3505815999988</v>
      </c>
      <c r="I26" s="18">
        <f t="shared" si="44"/>
        <v>13305.470059289999</v>
      </c>
      <c r="J26" s="19">
        <v>27404.080000000002</v>
      </c>
      <c r="K26" s="18">
        <f t="shared" si="45"/>
        <v>8642.224659816</v>
      </c>
      <c r="L26" s="18">
        <f t="shared" si="46"/>
        <v>6865.8620497279999</v>
      </c>
      <c r="M26" s="18">
        <f t="shared" si="47"/>
        <v>11895.9957568232</v>
      </c>
      <c r="N26" s="5"/>
      <c r="O26" s="21">
        <v>8750</v>
      </c>
      <c r="P26" s="14">
        <f t="shared" si="48"/>
        <v>2759.4236249999999</v>
      </c>
      <c r="Q26" s="14">
        <f t="shared" si="49"/>
        <v>2192.2389999999996</v>
      </c>
      <c r="R26" s="14">
        <f t="shared" si="50"/>
        <v>3798.3381624999997</v>
      </c>
      <c r="S26" s="2"/>
      <c r="T26" s="10">
        <f t="shared" si="51"/>
        <v>0</v>
      </c>
      <c r="U26" s="10">
        <f t="shared" si="52"/>
        <v>0</v>
      </c>
      <c r="V26" s="10">
        <f t="shared" si="53"/>
        <v>0</v>
      </c>
      <c r="W26" s="5">
        <f t="shared" si="54"/>
        <v>548.08160000000009</v>
      </c>
      <c r="X26" s="10">
        <f t="shared" si="55"/>
        <v>172.84449319632003</v>
      </c>
      <c r="Y26" s="10">
        <f t="shared" si="56"/>
        <v>137.31724099456002</v>
      </c>
      <c r="Z26" s="10">
        <f t="shared" si="57"/>
        <v>237.91991513646403</v>
      </c>
      <c r="AA26" s="2"/>
      <c r="AB26" s="14">
        <f t="shared" si="58"/>
        <v>0</v>
      </c>
      <c r="AC26" s="14">
        <f t="shared" si="59"/>
        <v>0</v>
      </c>
      <c r="AD26" s="10">
        <f t="shared" si="60"/>
        <v>0</v>
      </c>
      <c r="AE26" s="2"/>
      <c r="AF26" s="14">
        <f t="shared" si="68"/>
        <v>0</v>
      </c>
      <c r="AG26" s="14">
        <f t="shared" si="69"/>
        <v>0</v>
      </c>
      <c r="AH26" s="14">
        <f t="shared" si="70"/>
        <v>0</v>
      </c>
      <c r="AI26" s="2"/>
      <c r="AJ26" s="2"/>
      <c r="AK26" s="2"/>
      <c r="AL26" s="2"/>
      <c r="AM26" s="5">
        <f t="shared" si="61"/>
        <v>9298.0815999999995</v>
      </c>
      <c r="AN26" s="10">
        <f t="shared" si="62"/>
        <v>2932.2681181963198</v>
      </c>
      <c r="AO26" s="10">
        <f t="shared" si="63"/>
        <v>2329.5562409945596</v>
      </c>
      <c r="AP26" s="10">
        <f t="shared" si="64"/>
        <v>4036.2580776364634</v>
      </c>
      <c r="AQ26" s="6">
        <f t="shared" si="38"/>
        <v>52315.598400000003</v>
      </c>
      <c r="AR26" s="10">
        <f t="shared" si="65"/>
        <v>16498.388363539681</v>
      </c>
      <c r="AS26" s="10">
        <f t="shared" si="66"/>
        <v>13107.233728093439</v>
      </c>
      <c r="AT26" s="10">
        <f t="shared" si="67"/>
        <v>22709.981016770736</v>
      </c>
    </row>
    <row r="27" spans="1:48" x14ac:dyDescent="0.25">
      <c r="A27" s="4">
        <v>42491</v>
      </c>
      <c r="B27" s="24">
        <v>5896.8</v>
      </c>
      <c r="C27" s="16">
        <f t="shared" si="39"/>
        <v>1859.6307693599999</v>
      </c>
      <c r="D27" s="16">
        <f t="shared" si="40"/>
        <v>1477.3937068799999</v>
      </c>
      <c r="E27" s="16">
        <f t="shared" si="41"/>
        <v>2559.7761134399998</v>
      </c>
      <c r="F27" s="19">
        <v>30651</v>
      </c>
      <c r="G27" s="18">
        <f t="shared" si="42"/>
        <v>9666.1821177000002</v>
      </c>
      <c r="H27" s="18">
        <f t="shared" si="43"/>
        <v>7679.3505815999988</v>
      </c>
      <c r="I27" s="18">
        <f t="shared" si="44"/>
        <v>13305.470059289999</v>
      </c>
      <c r="J27" s="19">
        <v>27404.080000000002</v>
      </c>
      <c r="K27" s="18">
        <f t="shared" si="45"/>
        <v>8642.224659816</v>
      </c>
      <c r="L27" s="18">
        <f t="shared" si="46"/>
        <v>6865.8620497279999</v>
      </c>
      <c r="M27" s="18">
        <f t="shared" si="47"/>
        <v>11895.9957568232</v>
      </c>
      <c r="N27" s="5"/>
      <c r="O27" s="21">
        <v>8750</v>
      </c>
      <c r="P27" s="14">
        <f t="shared" si="48"/>
        <v>2759.4236249999999</v>
      </c>
      <c r="Q27" s="14">
        <f t="shared" si="49"/>
        <v>2192.2389999999996</v>
      </c>
      <c r="R27" s="14">
        <f t="shared" si="50"/>
        <v>3798.3381624999997</v>
      </c>
      <c r="S27" s="2"/>
      <c r="T27" s="10">
        <f t="shared" si="51"/>
        <v>0</v>
      </c>
      <c r="U27" s="10">
        <f t="shared" si="52"/>
        <v>0</v>
      </c>
      <c r="V27" s="10">
        <f t="shared" si="53"/>
        <v>0</v>
      </c>
      <c r="W27" s="5">
        <f t="shared" si="54"/>
        <v>548.08160000000009</v>
      </c>
      <c r="X27" s="10">
        <f t="shared" si="55"/>
        <v>172.84449319632003</v>
      </c>
      <c r="Y27" s="10">
        <f t="shared" si="56"/>
        <v>137.31724099456002</v>
      </c>
      <c r="Z27" s="10">
        <f t="shared" si="57"/>
        <v>237.91991513646403</v>
      </c>
      <c r="AA27" s="2"/>
      <c r="AB27" s="14">
        <f t="shared" si="58"/>
        <v>0</v>
      </c>
      <c r="AC27" s="14">
        <f t="shared" si="59"/>
        <v>0</v>
      </c>
      <c r="AD27" s="10">
        <f t="shared" si="60"/>
        <v>0</v>
      </c>
      <c r="AE27" s="2">
        <v>31082</v>
      </c>
      <c r="AF27" s="14">
        <f t="shared" si="68"/>
        <v>9802.1034414000005</v>
      </c>
      <c r="AG27" s="14">
        <f t="shared" si="69"/>
        <v>7787.3340111999996</v>
      </c>
      <c r="AH27" s="14">
        <f t="shared" si="70"/>
        <v>13492.56534478</v>
      </c>
      <c r="AI27" s="2"/>
      <c r="AJ27" s="2"/>
      <c r="AK27" s="2"/>
      <c r="AL27" s="2"/>
      <c r="AM27" s="5">
        <f t="shared" si="61"/>
        <v>40380.081599999998</v>
      </c>
      <c r="AN27" s="10">
        <f t="shared" si="62"/>
        <v>12734.371559596319</v>
      </c>
      <c r="AO27" s="10">
        <f t="shared" si="63"/>
        <v>10116.890252194558</v>
      </c>
      <c r="AP27" s="10">
        <f t="shared" si="64"/>
        <v>17528.823422416463</v>
      </c>
      <c r="AQ27" s="6">
        <f t="shared" si="38"/>
        <v>-7079.2015999999958</v>
      </c>
      <c r="AR27" s="10">
        <f t="shared" si="65"/>
        <v>-2232.5161304203189</v>
      </c>
      <c r="AS27" s="10">
        <f t="shared" si="66"/>
        <v>-1773.6344955865588</v>
      </c>
      <c r="AT27" s="10">
        <f t="shared" si="67"/>
        <v>-3073.0516111212619</v>
      </c>
    </row>
    <row r="28" spans="1:48" x14ac:dyDescent="0.25">
      <c r="A28" s="4">
        <v>42522</v>
      </c>
      <c r="B28" s="24">
        <v>54519.57</v>
      </c>
      <c r="C28" s="16">
        <f t="shared" si="39"/>
        <v>17193.438798038998</v>
      </c>
      <c r="D28" s="16">
        <f t="shared" si="40"/>
        <v>13659.420299111998</v>
      </c>
      <c r="E28" s="16">
        <f t="shared" si="41"/>
        <v>23666.716354805998</v>
      </c>
      <c r="F28" s="19">
        <v>30651</v>
      </c>
      <c r="G28" s="18">
        <f t="shared" si="42"/>
        <v>9666.1821177000002</v>
      </c>
      <c r="H28" s="18">
        <f t="shared" si="43"/>
        <v>7679.3505815999988</v>
      </c>
      <c r="I28" s="18">
        <f t="shared" si="44"/>
        <v>13305.470059289999</v>
      </c>
      <c r="J28" s="19">
        <v>27404.080000000002</v>
      </c>
      <c r="K28" s="18">
        <f t="shared" si="45"/>
        <v>8642.224659816</v>
      </c>
      <c r="L28" s="18">
        <f t="shared" si="46"/>
        <v>6865.8620497279999</v>
      </c>
      <c r="M28" s="18">
        <f t="shared" si="47"/>
        <v>11895.9957568232</v>
      </c>
      <c r="N28" s="5"/>
      <c r="O28" s="21">
        <v>8750</v>
      </c>
      <c r="P28" s="14">
        <f t="shared" si="48"/>
        <v>2759.4236249999999</v>
      </c>
      <c r="Q28" s="14">
        <f t="shared" si="49"/>
        <v>2192.2389999999996</v>
      </c>
      <c r="R28" s="14">
        <f t="shared" si="50"/>
        <v>3798.3381624999997</v>
      </c>
      <c r="S28" s="2"/>
      <c r="T28" s="10">
        <f t="shared" si="51"/>
        <v>0</v>
      </c>
      <c r="U28" s="10">
        <f t="shared" si="52"/>
        <v>0</v>
      </c>
      <c r="V28" s="10">
        <f t="shared" si="53"/>
        <v>0</v>
      </c>
      <c r="W28" s="5">
        <f t="shared" si="54"/>
        <v>548.08160000000009</v>
      </c>
      <c r="X28" s="10">
        <f t="shared" si="55"/>
        <v>172.84449319632003</v>
      </c>
      <c r="Y28" s="10">
        <f t="shared" si="56"/>
        <v>137.31724099456002</v>
      </c>
      <c r="Z28" s="10">
        <f t="shared" si="57"/>
        <v>237.91991513646403</v>
      </c>
      <c r="AA28" s="2"/>
      <c r="AB28" s="14">
        <f t="shared" si="58"/>
        <v>0</v>
      </c>
      <c r="AC28" s="14">
        <f t="shared" si="59"/>
        <v>0</v>
      </c>
      <c r="AD28" s="10">
        <f t="shared" si="60"/>
        <v>0</v>
      </c>
      <c r="AE28" s="2"/>
      <c r="AF28" s="14">
        <f t="shared" si="68"/>
        <v>0</v>
      </c>
      <c r="AG28" s="14">
        <f t="shared" si="69"/>
        <v>0</v>
      </c>
      <c r="AH28" s="14">
        <f t="shared" si="70"/>
        <v>0</v>
      </c>
      <c r="AI28" s="2"/>
      <c r="AJ28" s="2"/>
      <c r="AK28" s="2"/>
      <c r="AL28" s="2"/>
      <c r="AM28" s="5">
        <f t="shared" si="61"/>
        <v>9298.0815999999995</v>
      </c>
      <c r="AN28" s="10">
        <f t="shared" si="62"/>
        <v>2932.2681181963198</v>
      </c>
      <c r="AO28" s="10">
        <f t="shared" si="63"/>
        <v>2329.5562409945596</v>
      </c>
      <c r="AP28" s="10">
        <f t="shared" si="64"/>
        <v>4036.2580776364634</v>
      </c>
      <c r="AQ28" s="6">
        <f t="shared" si="38"/>
        <v>72625.568400000004</v>
      </c>
      <c r="AR28" s="10">
        <f t="shared" si="65"/>
        <v>22903.39533965868</v>
      </c>
      <c r="AS28" s="10">
        <f t="shared" si="66"/>
        <v>18195.726107845439</v>
      </c>
      <c r="AT28" s="10">
        <f t="shared" si="67"/>
        <v>31526.453488797037</v>
      </c>
    </row>
    <row r="29" spans="1:48" x14ac:dyDescent="0.25">
      <c r="A29" s="4">
        <v>42552</v>
      </c>
      <c r="B29" s="24">
        <v>725.17</v>
      </c>
      <c r="C29" s="16">
        <f t="shared" si="39"/>
        <v>228.69156915899998</v>
      </c>
      <c r="D29" s="16">
        <f t="shared" si="40"/>
        <v>181.68525207199997</v>
      </c>
      <c r="E29" s="16">
        <f t="shared" si="41"/>
        <v>314.79325128599999</v>
      </c>
      <c r="F29" s="19">
        <v>30651</v>
      </c>
      <c r="G29" s="18">
        <f t="shared" si="42"/>
        <v>9666.1821177000002</v>
      </c>
      <c r="H29" s="18">
        <f t="shared" si="43"/>
        <v>7679.3505815999988</v>
      </c>
      <c r="I29" s="18">
        <f t="shared" si="44"/>
        <v>13305.470059289999</v>
      </c>
      <c r="J29" s="19">
        <v>27404.080000000002</v>
      </c>
      <c r="K29" s="18">
        <f t="shared" si="45"/>
        <v>8642.224659816</v>
      </c>
      <c r="L29" s="18">
        <f t="shared" si="46"/>
        <v>6865.8620497279999</v>
      </c>
      <c r="M29" s="18">
        <f t="shared" si="47"/>
        <v>11895.9957568232</v>
      </c>
      <c r="N29" s="5"/>
      <c r="O29" s="21">
        <v>8750</v>
      </c>
      <c r="P29" s="14">
        <f t="shared" si="48"/>
        <v>2759.4236249999999</v>
      </c>
      <c r="Q29" s="14">
        <f t="shared" si="49"/>
        <v>2192.2389999999996</v>
      </c>
      <c r="R29" s="14">
        <f t="shared" si="50"/>
        <v>3798.3381624999997</v>
      </c>
      <c r="S29" s="2"/>
      <c r="T29" s="10">
        <f t="shared" si="51"/>
        <v>0</v>
      </c>
      <c r="U29" s="10">
        <f t="shared" si="52"/>
        <v>0</v>
      </c>
      <c r="V29" s="10">
        <f t="shared" si="53"/>
        <v>0</v>
      </c>
      <c r="W29" s="5">
        <f t="shared" si="54"/>
        <v>548.08160000000009</v>
      </c>
      <c r="X29" s="10">
        <f t="shared" si="55"/>
        <v>172.84449319632003</v>
      </c>
      <c r="Y29" s="10">
        <f t="shared" si="56"/>
        <v>137.31724099456002</v>
      </c>
      <c r="Z29" s="10">
        <f t="shared" si="57"/>
        <v>237.91991513646403</v>
      </c>
      <c r="AA29" s="2"/>
      <c r="AB29" s="14">
        <f t="shared" si="58"/>
        <v>0</v>
      </c>
      <c r="AC29" s="14">
        <f t="shared" si="59"/>
        <v>0</v>
      </c>
      <c r="AD29" s="10">
        <f t="shared" si="60"/>
        <v>0</v>
      </c>
      <c r="AE29" s="2"/>
      <c r="AF29" s="14">
        <f t="shared" si="68"/>
        <v>0</v>
      </c>
      <c r="AG29" s="14">
        <f t="shared" si="69"/>
        <v>0</v>
      </c>
      <c r="AH29" s="14">
        <f t="shared" si="70"/>
        <v>0</v>
      </c>
      <c r="AI29" s="2"/>
      <c r="AJ29" s="2"/>
      <c r="AK29" s="2"/>
      <c r="AL29" s="2"/>
      <c r="AM29" s="5">
        <f t="shared" si="61"/>
        <v>9298.0815999999995</v>
      </c>
      <c r="AN29" s="10">
        <f t="shared" si="62"/>
        <v>2932.2681181963198</v>
      </c>
      <c r="AO29" s="10">
        <f t="shared" si="63"/>
        <v>2329.5562409945596</v>
      </c>
      <c r="AP29" s="10">
        <f t="shared" si="64"/>
        <v>4036.2580776364634</v>
      </c>
      <c r="AQ29" s="6">
        <f t="shared" si="38"/>
        <v>18831.168400000002</v>
      </c>
      <c r="AR29" s="10">
        <f t="shared" si="65"/>
        <v>5938.6481107786803</v>
      </c>
      <c r="AS29" s="10">
        <f t="shared" si="66"/>
        <v>4717.9910608054397</v>
      </c>
      <c r="AT29" s="10">
        <f t="shared" si="67"/>
        <v>8174.5309232210366</v>
      </c>
    </row>
    <row r="30" spans="1:48" x14ac:dyDescent="0.25">
      <c r="A30" s="4">
        <v>42583</v>
      </c>
      <c r="B30" s="24">
        <v>49459.92</v>
      </c>
      <c r="C30" s="16">
        <f t="shared" si="39"/>
        <v>15597.813912984</v>
      </c>
      <c r="D30" s="16">
        <f t="shared" si="40"/>
        <v>12391.767492671999</v>
      </c>
      <c r="E30" s="16">
        <f t="shared" si="41"/>
        <v>21470.343540335998</v>
      </c>
      <c r="F30" s="19">
        <v>30651</v>
      </c>
      <c r="G30" s="18">
        <f t="shared" si="42"/>
        <v>9666.1821177000002</v>
      </c>
      <c r="H30" s="18">
        <f t="shared" si="43"/>
        <v>7679.3505815999988</v>
      </c>
      <c r="I30" s="18">
        <f t="shared" si="44"/>
        <v>13305.470059289999</v>
      </c>
      <c r="J30" s="19">
        <v>27404.080000000002</v>
      </c>
      <c r="K30" s="18">
        <f t="shared" si="45"/>
        <v>8642.224659816</v>
      </c>
      <c r="L30" s="18">
        <f t="shared" si="46"/>
        <v>6865.8620497279999</v>
      </c>
      <c r="M30" s="18">
        <f t="shared" si="47"/>
        <v>11895.9957568232</v>
      </c>
      <c r="N30" s="5"/>
      <c r="O30" s="21">
        <v>8750</v>
      </c>
      <c r="P30" s="14">
        <f t="shared" si="48"/>
        <v>2759.4236249999999</v>
      </c>
      <c r="Q30" s="14">
        <f t="shared" si="49"/>
        <v>2192.2389999999996</v>
      </c>
      <c r="R30" s="14">
        <f t="shared" si="50"/>
        <v>3798.3381624999997</v>
      </c>
      <c r="S30" s="2"/>
      <c r="T30" s="10">
        <f t="shared" si="51"/>
        <v>0</v>
      </c>
      <c r="U30" s="10">
        <f t="shared" si="52"/>
        <v>0</v>
      </c>
      <c r="V30" s="10">
        <f t="shared" si="53"/>
        <v>0</v>
      </c>
      <c r="W30" s="5">
        <f t="shared" si="54"/>
        <v>548.08160000000009</v>
      </c>
      <c r="X30" s="10">
        <f t="shared" si="55"/>
        <v>172.84449319632003</v>
      </c>
      <c r="Y30" s="10">
        <f t="shared" si="56"/>
        <v>137.31724099456002</v>
      </c>
      <c r="Z30" s="10">
        <f t="shared" si="57"/>
        <v>237.91991513646403</v>
      </c>
      <c r="AA30" s="2"/>
      <c r="AB30" s="14">
        <f t="shared" si="58"/>
        <v>0</v>
      </c>
      <c r="AC30" s="14">
        <f t="shared" si="59"/>
        <v>0</v>
      </c>
      <c r="AD30" s="10">
        <f t="shared" si="60"/>
        <v>0</v>
      </c>
      <c r="AE30" s="2"/>
      <c r="AF30" s="14">
        <f t="shared" si="68"/>
        <v>0</v>
      </c>
      <c r="AG30" s="14">
        <f t="shared" si="69"/>
        <v>0</v>
      </c>
      <c r="AH30" s="14">
        <f t="shared" si="70"/>
        <v>0</v>
      </c>
      <c r="AI30" s="2"/>
      <c r="AJ30" s="2"/>
      <c r="AK30" s="2"/>
      <c r="AL30" s="2"/>
      <c r="AM30" s="5">
        <f t="shared" si="61"/>
        <v>9298.0815999999995</v>
      </c>
      <c r="AN30" s="10">
        <f t="shared" si="62"/>
        <v>2932.2681181963198</v>
      </c>
      <c r="AO30" s="10">
        <f t="shared" si="63"/>
        <v>2329.5562409945596</v>
      </c>
      <c r="AP30" s="10">
        <f t="shared" si="64"/>
        <v>4036.2580776364634</v>
      </c>
      <c r="AQ30" s="6">
        <f t="shared" si="38"/>
        <v>67565.918399999995</v>
      </c>
      <c r="AR30" s="10">
        <f t="shared" si="65"/>
        <v>21307.770454603677</v>
      </c>
      <c r="AS30" s="10">
        <f t="shared" si="66"/>
        <v>16928.073301405439</v>
      </c>
      <c r="AT30" s="10">
        <f t="shared" si="67"/>
        <v>29330.080724923533</v>
      </c>
    </row>
    <row r="31" spans="1:48" x14ac:dyDescent="0.25">
      <c r="A31" s="4">
        <v>42614</v>
      </c>
      <c r="B31" s="24">
        <v>18350.84</v>
      </c>
      <c r="C31" s="16">
        <f t="shared" si="39"/>
        <v>5787.1704496680004</v>
      </c>
      <c r="D31" s="16">
        <f t="shared" si="40"/>
        <v>4597.6488149439992</v>
      </c>
      <c r="E31" s="16">
        <f t="shared" si="41"/>
        <v>7966.0225704719996</v>
      </c>
      <c r="F31" s="19">
        <v>30651</v>
      </c>
      <c r="G31" s="18">
        <f t="shared" si="42"/>
        <v>9666.1821177000002</v>
      </c>
      <c r="H31" s="18">
        <f t="shared" si="43"/>
        <v>7679.3505815999988</v>
      </c>
      <c r="I31" s="18">
        <f t="shared" si="44"/>
        <v>13305.470059289999</v>
      </c>
      <c r="J31" s="19">
        <v>27404.080000000002</v>
      </c>
      <c r="K31" s="18">
        <f t="shared" si="45"/>
        <v>8642.224659816</v>
      </c>
      <c r="L31" s="18">
        <f t="shared" si="46"/>
        <v>6865.8620497279999</v>
      </c>
      <c r="M31" s="18">
        <f t="shared" si="47"/>
        <v>11895.9957568232</v>
      </c>
      <c r="N31" s="5"/>
      <c r="O31" s="21">
        <v>8750</v>
      </c>
      <c r="P31" s="14">
        <f t="shared" si="48"/>
        <v>2759.4236249999999</v>
      </c>
      <c r="Q31" s="14">
        <f t="shared" si="49"/>
        <v>2192.2389999999996</v>
      </c>
      <c r="R31" s="14">
        <f t="shared" si="50"/>
        <v>3798.3381624999997</v>
      </c>
      <c r="S31" s="2"/>
      <c r="T31" s="10">
        <f t="shared" si="51"/>
        <v>0</v>
      </c>
      <c r="U31" s="10">
        <f t="shared" si="52"/>
        <v>0</v>
      </c>
      <c r="V31" s="10">
        <f t="shared" si="53"/>
        <v>0</v>
      </c>
      <c r="W31" s="5">
        <f t="shared" si="54"/>
        <v>548.08160000000009</v>
      </c>
      <c r="X31" s="10">
        <f t="shared" si="55"/>
        <v>172.84449319632003</v>
      </c>
      <c r="Y31" s="10">
        <f t="shared" si="56"/>
        <v>137.31724099456002</v>
      </c>
      <c r="Z31" s="10">
        <f t="shared" si="57"/>
        <v>237.91991513646403</v>
      </c>
      <c r="AA31" s="2">
        <v>27401</v>
      </c>
      <c r="AB31" s="14">
        <f t="shared" si="58"/>
        <v>8641.2533426999998</v>
      </c>
      <c r="AC31" s="14">
        <f t="shared" si="59"/>
        <v>6865.0903815999991</v>
      </c>
      <c r="AD31" s="10">
        <f t="shared" si="60"/>
        <v>11894.658741789999</v>
      </c>
      <c r="AE31" s="2"/>
      <c r="AF31" s="14">
        <f t="shared" si="68"/>
        <v>0</v>
      </c>
      <c r="AG31" s="14">
        <f t="shared" si="69"/>
        <v>0</v>
      </c>
      <c r="AH31" s="14">
        <f t="shared" si="70"/>
        <v>0</v>
      </c>
      <c r="AI31" s="2"/>
      <c r="AJ31" s="10">
        <f>AI31*0.3153627</f>
        <v>0</v>
      </c>
      <c r="AK31" s="10">
        <f>AI31*0.2505416</f>
        <v>0</v>
      </c>
      <c r="AL31" s="10">
        <f>AI31*0.43409579</f>
        <v>0</v>
      </c>
      <c r="AM31" s="5">
        <f t="shared" si="61"/>
        <v>36699.081599999998</v>
      </c>
      <c r="AN31" s="10">
        <f t="shared" si="62"/>
        <v>11573.52146089632</v>
      </c>
      <c r="AO31" s="10">
        <f t="shared" si="63"/>
        <v>9194.6466225945587</v>
      </c>
      <c r="AP31" s="10">
        <f t="shared" si="64"/>
        <v>15930.916819426462</v>
      </c>
      <c r="AQ31" s="6">
        <f t="shared" si="38"/>
        <v>9055.8384000000042</v>
      </c>
      <c r="AR31" s="10">
        <f t="shared" si="65"/>
        <v>2855.8736485876811</v>
      </c>
      <c r="AS31" s="10">
        <f t="shared" si="66"/>
        <v>2268.8642420774408</v>
      </c>
      <c r="AT31" s="10">
        <f t="shared" si="67"/>
        <v>3931.1013243603375</v>
      </c>
    </row>
    <row r="32" spans="1:48" x14ac:dyDescent="0.25">
      <c r="A32" s="4">
        <v>42644</v>
      </c>
      <c r="B32" s="24">
        <v>11683.41</v>
      </c>
      <c r="C32" s="16">
        <f t="shared" si="39"/>
        <v>3684.5117228069998</v>
      </c>
      <c r="D32" s="16">
        <f t="shared" si="40"/>
        <v>2927.1802348559995</v>
      </c>
      <c r="E32" s="16">
        <f t="shared" si="41"/>
        <v>5071.7192106779994</v>
      </c>
      <c r="F32" s="19">
        <v>30651</v>
      </c>
      <c r="G32" s="18">
        <f t="shared" si="42"/>
        <v>9666.1821177000002</v>
      </c>
      <c r="H32" s="18">
        <f t="shared" si="43"/>
        <v>7679.3505815999988</v>
      </c>
      <c r="I32" s="18">
        <f t="shared" si="44"/>
        <v>13305.470059289999</v>
      </c>
      <c r="J32" s="19">
        <v>27404.080000000002</v>
      </c>
      <c r="K32" s="18">
        <f t="shared" si="45"/>
        <v>8642.224659816</v>
      </c>
      <c r="L32" s="18">
        <f t="shared" si="46"/>
        <v>6865.8620497279999</v>
      </c>
      <c r="M32" s="18">
        <f t="shared" si="47"/>
        <v>11895.9957568232</v>
      </c>
      <c r="N32" s="5"/>
      <c r="O32" s="21">
        <v>8750</v>
      </c>
      <c r="P32" s="14">
        <f t="shared" si="48"/>
        <v>2759.4236249999999</v>
      </c>
      <c r="Q32" s="14">
        <f t="shared" si="49"/>
        <v>2192.2389999999996</v>
      </c>
      <c r="R32" s="14">
        <f t="shared" si="50"/>
        <v>3798.3381624999997</v>
      </c>
      <c r="S32" s="2"/>
      <c r="T32" s="10">
        <f t="shared" si="51"/>
        <v>0</v>
      </c>
      <c r="U32" s="10">
        <f t="shared" si="52"/>
        <v>0</v>
      </c>
      <c r="V32" s="10">
        <f t="shared" si="53"/>
        <v>0</v>
      </c>
      <c r="W32" s="5">
        <f t="shared" si="54"/>
        <v>548.08160000000009</v>
      </c>
      <c r="X32" s="10">
        <f t="shared" si="55"/>
        <v>172.84449319632003</v>
      </c>
      <c r="Y32" s="10">
        <f t="shared" si="56"/>
        <v>137.31724099456002</v>
      </c>
      <c r="Z32" s="10">
        <f t="shared" si="57"/>
        <v>237.91991513646403</v>
      </c>
      <c r="AA32" s="2"/>
      <c r="AB32" s="14">
        <f t="shared" si="58"/>
        <v>0</v>
      </c>
      <c r="AC32" s="14">
        <f t="shared" si="59"/>
        <v>0</v>
      </c>
      <c r="AD32" s="10">
        <f t="shared" si="60"/>
        <v>0</v>
      </c>
      <c r="AE32" s="2">
        <v>16390</v>
      </c>
      <c r="AF32" s="14">
        <f t="shared" si="68"/>
        <v>5168.7946529999999</v>
      </c>
      <c r="AG32" s="14">
        <f t="shared" si="69"/>
        <v>4106.3768239999999</v>
      </c>
      <c r="AH32" s="14">
        <f t="shared" si="70"/>
        <v>7114.8299981</v>
      </c>
      <c r="AI32" s="2"/>
      <c r="AJ32" s="10">
        <f t="shared" ref="AJ32:AJ35" si="71">AI32*0.3153627</f>
        <v>0</v>
      </c>
      <c r="AK32" s="10">
        <f t="shared" ref="AK32:AK35" si="72">AI32*0.2505416</f>
        <v>0</v>
      </c>
      <c r="AL32" s="10">
        <f t="shared" ref="AL32:AL35" si="73">AI32*0.43409579</f>
        <v>0</v>
      </c>
      <c r="AM32" s="5">
        <f t="shared" si="61"/>
        <v>25688.081599999998</v>
      </c>
      <c r="AN32" s="10">
        <f t="shared" si="62"/>
        <v>8101.0627711963189</v>
      </c>
      <c r="AO32" s="10">
        <f t="shared" si="63"/>
        <v>6435.9330649945587</v>
      </c>
      <c r="AP32" s="10">
        <f t="shared" si="64"/>
        <v>11151.088075736463</v>
      </c>
      <c r="AQ32" s="6">
        <f t="shared" si="38"/>
        <v>13399.408400000004</v>
      </c>
      <c r="AR32" s="10">
        <f t="shared" si="65"/>
        <v>4225.6736114266814</v>
      </c>
      <c r="AS32" s="10">
        <f t="shared" si="66"/>
        <v>3357.1092195894407</v>
      </c>
      <c r="AT32" s="10">
        <f t="shared" si="67"/>
        <v>5816.6267749306371</v>
      </c>
    </row>
    <row r="33" spans="1:46" x14ac:dyDescent="0.25">
      <c r="A33" s="4">
        <v>42675</v>
      </c>
      <c r="B33" s="24">
        <v>-55583.23</v>
      </c>
      <c r="C33" s="16">
        <f t="shared" si="39"/>
        <v>-17528.877487521</v>
      </c>
      <c r="D33" s="16">
        <f t="shared" si="40"/>
        <v>-13925.911377368</v>
      </c>
      <c r="E33" s="16">
        <f t="shared" si="41"/>
        <v>-24128.446693434002</v>
      </c>
      <c r="F33" s="19">
        <v>30651</v>
      </c>
      <c r="G33" s="18">
        <f t="shared" si="42"/>
        <v>9666.1821177000002</v>
      </c>
      <c r="H33" s="18">
        <f t="shared" si="43"/>
        <v>7679.3505815999988</v>
      </c>
      <c r="I33" s="18">
        <f t="shared" si="44"/>
        <v>13305.470059289999</v>
      </c>
      <c r="J33" s="19">
        <v>27404.080000000002</v>
      </c>
      <c r="K33" s="18">
        <f t="shared" si="45"/>
        <v>8642.224659816</v>
      </c>
      <c r="L33" s="18">
        <f t="shared" si="46"/>
        <v>6865.8620497279999</v>
      </c>
      <c r="M33" s="18">
        <f t="shared" si="47"/>
        <v>11895.9957568232</v>
      </c>
      <c r="N33" s="5"/>
      <c r="O33" s="21">
        <v>8750</v>
      </c>
      <c r="P33" s="14">
        <f t="shared" si="48"/>
        <v>2759.4236249999999</v>
      </c>
      <c r="Q33" s="14">
        <f t="shared" si="49"/>
        <v>2192.2389999999996</v>
      </c>
      <c r="R33" s="14">
        <f t="shared" si="50"/>
        <v>3798.3381624999997</v>
      </c>
      <c r="S33" s="2"/>
      <c r="T33" s="10">
        <f t="shared" si="51"/>
        <v>0</v>
      </c>
      <c r="U33" s="10">
        <f t="shared" si="52"/>
        <v>0</v>
      </c>
      <c r="V33" s="10">
        <f t="shared" si="53"/>
        <v>0</v>
      </c>
      <c r="W33" s="5">
        <f t="shared" si="54"/>
        <v>548.08160000000009</v>
      </c>
      <c r="X33" s="10">
        <f t="shared" si="55"/>
        <v>172.84449319632003</v>
      </c>
      <c r="Y33" s="10">
        <f t="shared" si="56"/>
        <v>137.31724099456002</v>
      </c>
      <c r="Z33" s="10">
        <f t="shared" si="57"/>
        <v>237.91991513646403</v>
      </c>
      <c r="AA33" s="2">
        <v>11883</v>
      </c>
      <c r="AB33" s="14">
        <f t="shared" si="58"/>
        <v>3747.4549640999999</v>
      </c>
      <c r="AC33" s="14">
        <f t="shared" si="59"/>
        <v>2977.1858327999998</v>
      </c>
      <c r="AD33" s="10">
        <f t="shared" si="60"/>
        <v>5158.3602725700002</v>
      </c>
      <c r="AE33" s="2"/>
      <c r="AF33" s="14">
        <f t="shared" si="68"/>
        <v>0</v>
      </c>
      <c r="AG33" s="14">
        <f t="shared" si="69"/>
        <v>0</v>
      </c>
      <c r="AH33" s="14">
        <f t="shared" si="70"/>
        <v>0</v>
      </c>
      <c r="AI33" s="2"/>
      <c r="AJ33" s="10">
        <f t="shared" si="71"/>
        <v>0</v>
      </c>
      <c r="AK33" s="10">
        <f t="shared" si="72"/>
        <v>0</v>
      </c>
      <c r="AL33" s="10">
        <f t="shared" si="73"/>
        <v>0</v>
      </c>
      <c r="AM33" s="5">
        <f t="shared" si="61"/>
        <v>21181.081599999998</v>
      </c>
      <c r="AN33" s="10">
        <f t="shared" si="62"/>
        <v>6679.7230822963193</v>
      </c>
      <c r="AO33" s="10">
        <f t="shared" si="63"/>
        <v>5306.7420737945586</v>
      </c>
      <c r="AP33" s="10">
        <f t="shared" si="64"/>
        <v>9194.6183502064632</v>
      </c>
      <c r="AQ33" s="6">
        <f t="shared" si="38"/>
        <v>-49360.231599999999</v>
      </c>
      <c r="AR33" s="10">
        <f t="shared" si="65"/>
        <v>-15566.375910001319</v>
      </c>
      <c r="AS33" s="10">
        <f t="shared" si="66"/>
        <v>-12366.791401434559</v>
      </c>
      <c r="AT33" s="10">
        <f t="shared" si="67"/>
        <v>-21427.068730984964</v>
      </c>
    </row>
    <row r="34" spans="1:46" x14ac:dyDescent="0.25">
      <c r="A34" s="4">
        <v>42705</v>
      </c>
      <c r="B34" s="24">
        <v>-19742.57</v>
      </c>
      <c r="C34" s="16">
        <f t="shared" si="39"/>
        <v>-6226.0701801389996</v>
      </c>
      <c r="D34" s="16">
        <f t="shared" si="40"/>
        <v>-4946.3350759119994</v>
      </c>
      <c r="E34" s="16">
        <f t="shared" si="41"/>
        <v>-8570.1667182059991</v>
      </c>
      <c r="F34" s="19">
        <v>30768</v>
      </c>
      <c r="G34" s="18">
        <f t="shared" si="42"/>
        <v>9703.0795536000005</v>
      </c>
      <c r="H34" s="18">
        <f t="shared" si="43"/>
        <v>7708.6639487999992</v>
      </c>
      <c r="I34" s="18">
        <f t="shared" si="44"/>
        <v>13356.259266719999</v>
      </c>
      <c r="J34" s="19">
        <v>27404.080000000002</v>
      </c>
      <c r="K34" s="18">
        <f t="shared" si="45"/>
        <v>8642.224659816</v>
      </c>
      <c r="L34" s="18">
        <f t="shared" si="46"/>
        <v>6865.8620497279999</v>
      </c>
      <c r="M34" s="18">
        <f t="shared" si="47"/>
        <v>11895.9957568232</v>
      </c>
      <c r="N34" s="5"/>
      <c r="O34" s="21">
        <v>8750</v>
      </c>
      <c r="P34" s="14">
        <f t="shared" si="48"/>
        <v>2759.4236249999999</v>
      </c>
      <c r="Q34" s="14">
        <f t="shared" si="49"/>
        <v>2192.2389999999996</v>
      </c>
      <c r="R34" s="14">
        <f t="shared" si="50"/>
        <v>3798.3381624999997</v>
      </c>
      <c r="S34" s="2"/>
      <c r="T34" s="10">
        <f t="shared" si="51"/>
        <v>0</v>
      </c>
      <c r="U34" s="10">
        <f t="shared" si="52"/>
        <v>0</v>
      </c>
      <c r="V34" s="10">
        <f t="shared" si="53"/>
        <v>0</v>
      </c>
      <c r="W34" s="5">
        <f t="shared" si="54"/>
        <v>548.08160000000009</v>
      </c>
      <c r="X34" s="10">
        <f t="shared" si="55"/>
        <v>172.84449319632003</v>
      </c>
      <c r="Y34" s="10">
        <f t="shared" si="56"/>
        <v>137.31724099456002</v>
      </c>
      <c r="Z34" s="10">
        <f t="shared" si="57"/>
        <v>237.91991513646403</v>
      </c>
      <c r="AA34" s="2">
        <v>0</v>
      </c>
      <c r="AB34" s="14">
        <f t="shared" si="58"/>
        <v>0</v>
      </c>
      <c r="AC34" s="14">
        <f t="shared" si="59"/>
        <v>0</v>
      </c>
      <c r="AD34" s="10">
        <f t="shared" si="60"/>
        <v>0</v>
      </c>
      <c r="AE34" s="2"/>
      <c r="AF34" s="14">
        <f t="shared" si="68"/>
        <v>0</v>
      </c>
      <c r="AG34" s="14">
        <f t="shared" si="69"/>
        <v>0</v>
      </c>
      <c r="AH34" s="14">
        <f t="shared" si="70"/>
        <v>0</v>
      </c>
      <c r="AI34" s="2"/>
      <c r="AJ34" s="10">
        <f t="shared" si="71"/>
        <v>0</v>
      </c>
      <c r="AK34" s="10">
        <f t="shared" si="72"/>
        <v>0</v>
      </c>
      <c r="AL34" s="10">
        <f t="shared" si="73"/>
        <v>0</v>
      </c>
      <c r="AM34" s="5">
        <f t="shared" si="61"/>
        <v>9298.0815999999995</v>
      </c>
      <c r="AN34" s="10">
        <f t="shared" si="62"/>
        <v>2932.2681181963198</v>
      </c>
      <c r="AO34" s="10">
        <f t="shared" si="63"/>
        <v>2329.5562409945596</v>
      </c>
      <c r="AP34" s="10">
        <f t="shared" si="64"/>
        <v>4036.2580776364634</v>
      </c>
      <c r="AQ34" s="6">
        <f t="shared" si="38"/>
        <v>-1636.5715999999957</v>
      </c>
      <c r="AR34" s="10">
        <f t="shared" si="65"/>
        <v>-516.11363851931867</v>
      </c>
      <c r="AS34" s="10">
        <f t="shared" si="66"/>
        <v>-410.02926717855888</v>
      </c>
      <c r="AT34" s="10">
        <f t="shared" si="67"/>
        <v>-710.42884159356208</v>
      </c>
    </row>
    <row r="35" spans="1:46" x14ac:dyDescent="0.25">
      <c r="A35" s="2" t="s">
        <v>4</v>
      </c>
      <c r="B35" s="2">
        <v>-63147.31</v>
      </c>
      <c r="C35" s="16">
        <f t="shared" si="39"/>
        <v>-19914.306179337</v>
      </c>
      <c r="D35" s="16">
        <f t="shared" si="40"/>
        <v>-15821.028083095998</v>
      </c>
      <c r="E35" s="16">
        <f t="shared" si="41"/>
        <v>-27411.982052297997</v>
      </c>
      <c r="F35" s="6">
        <f>SUM(F23:F34)</f>
        <v>367929</v>
      </c>
      <c r="G35" s="18">
        <f t="shared" si="42"/>
        <v>116031.08284829999</v>
      </c>
      <c r="H35" s="18">
        <f t="shared" si="43"/>
        <v>92181.520346399993</v>
      </c>
      <c r="I35" s="18">
        <f t="shared" si="44"/>
        <v>159716.42991891</v>
      </c>
      <c r="J35" s="6">
        <f>SUM(J23:J34)</f>
        <v>328848.96000000014</v>
      </c>
      <c r="K35" s="18">
        <f t="shared" si="45"/>
        <v>103706.69591779204</v>
      </c>
      <c r="L35" s="18">
        <f t="shared" si="46"/>
        <v>82390.344596736031</v>
      </c>
      <c r="M35" s="18">
        <f t="shared" si="47"/>
        <v>142751.94908187844</v>
      </c>
      <c r="N35" s="5">
        <f t="shared" ref="N35" si="74">J35/F35*100</f>
        <v>89.37837463206219</v>
      </c>
      <c r="O35" s="2">
        <f t="shared" ref="O35:AI35" si="75">SUM(O23:O34)</f>
        <v>105000</v>
      </c>
      <c r="P35" s="14">
        <f t="shared" si="48"/>
        <v>33113.083500000001</v>
      </c>
      <c r="Q35" s="14">
        <f t="shared" si="49"/>
        <v>26306.867999999999</v>
      </c>
      <c r="R35" s="14">
        <f t="shared" si="50"/>
        <v>45580.057949999995</v>
      </c>
      <c r="S35" s="2">
        <f t="shared" si="75"/>
        <v>45692</v>
      </c>
      <c r="T35" s="10">
        <f t="shared" si="51"/>
        <v>14409.552488400001</v>
      </c>
      <c r="U35" s="10">
        <f t="shared" si="52"/>
        <v>11447.7467872</v>
      </c>
      <c r="V35" s="10">
        <f t="shared" si="53"/>
        <v>19834.704836680001</v>
      </c>
      <c r="W35" s="5">
        <f t="shared" si="75"/>
        <v>6576.9792000000025</v>
      </c>
      <c r="X35" s="10">
        <f t="shared" si="55"/>
        <v>2074.1339183558407</v>
      </c>
      <c r="Y35" s="10">
        <f t="shared" si="56"/>
        <v>1647.8068919347204</v>
      </c>
      <c r="Z35" s="10">
        <f t="shared" si="57"/>
        <v>2855.0389816375691</v>
      </c>
      <c r="AA35" s="2">
        <f t="shared" si="75"/>
        <v>70086</v>
      </c>
      <c r="AB35" s="14">
        <f t="shared" si="58"/>
        <v>22102.510192199999</v>
      </c>
      <c r="AC35" s="14">
        <f t="shared" si="59"/>
        <v>17559.458577599999</v>
      </c>
      <c r="AD35" s="10">
        <f t="shared" si="60"/>
        <v>30424.037537939999</v>
      </c>
      <c r="AE35" s="2">
        <f t="shared" si="75"/>
        <v>47472</v>
      </c>
      <c r="AF35" s="14">
        <f t="shared" si="68"/>
        <v>14970.8980944</v>
      </c>
      <c r="AG35" s="14">
        <f t="shared" si="69"/>
        <v>11893.7108352</v>
      </c>
      <c r="AH35" s="14">
        <f t="shared" si="70"/>
        <v>20607.395342879998</v>
      </c>
      <c r="AI35" s="2">
        <f t="shared" si="75"/>
        <v>0</v>
      </c>
      <c r="AJ35" s="10">
        <f t="shared" si="71"/>
        <v>0</v>
      </c>
      <c r="AK35" s="10">
        <f t="shared" si="72"/>
        <v>0</v>
      </c>
      <c r="AL35" s="10">
        <f t="shared" si="73"/>
        <v>0</v>
      </c>
      <c r="AM35" s="5">
        <f>O35+S35+W35+AA35+AE35+AI35</f>
        <v>274826.9792</v>
      </c>
      <c r="AN35" s="10">
        <f t="shared" si="62"/>
        <v>86670.178193355838</v>
      </c>
      <c r="AO35" s="10">
        <f t="shared" si="63"/>
        <v>68855.591091934708</v>
      </c>
      <c r="AP35" s="10">
        <f t="shared" si="64"/>
        <v>119301.23464913756</v>
      </c>
      <c r="AQ35" s="6">
        <f t="shared" si="38"/>
        <v>-9125.3291999998619</v>
      </c>
      <c r="AR35" s="10">
        <f t="shared" si="65"/>
        <v>-2877.7884549007963</v>
      </c>
      <c r="AS35" s="10">
        <f t="shared" si="66"/>
        <v>-2286.2745782946854</v>
      </c>
      <c r="AT35" s="10">
        <f t="shared" si="67"/>
        <v>-3961.2669880840081</v>
      </c>
    </row>
    <row r="38" spans="1:46" x14ac:dyDescent="0.25">
      <c r="O38" s="1" t="s">
        <v>8</v>
      </c>
    </row>
    <row r="39" spans="1:46" ht="110.25" x14ac:dyDescent="0.25">
      <c r="A39" s="2" t="s">
        <v>11</v>
      </c>
      <c r="B39" s="3" t="s">
        <v>12</v>
      </c>
      <c r="C39" s="11" t="s">
        <v>21</v>
      </c>
      <c r="D39" s="11" t="s">
        <v>22</v>
      </c>
      <c r="E39" s="11" t="s">
        <v>23</v>
      </c>
      <c r="F39" s="3" t="s">
        <v>0</v>
      </c>
      <c r="G39" s="11" t="s">
        <v>21</v>
      </c>
      <c r="H39" s="11" t="s">
        <v>22</v>
      </c>
      <c r="I39" s="11" t="s">
        <v>23</v>
      </c>
      <c r="J39" s="3" t="s">
        <v>1</v>
      </c>
      <c r="K39" s="11" t="s">
        <v>21</v>
      </c>
      <c r="L39" s="11" t="s">
        <v>22</v>
      </c>
      <c r="M39" s="11" t="s">
        <v>23</v>
      </c>
      <c r="N39" s="3" t="s">
        <v>2</v>
      </c>
      <c r="O39" s="3" t="s">
        <v>9</v>
      </c>
      <c r="P39" s="11" t="s">
        <v>21</v>
      </c>
      <c r="Q39" s="11" t="s">
        <v>22</v>
      </c>
      <c r="R39" s="11" t="s">
        <v>23</v>
      </c>
      <c r="S39" s="3" t="s">
        <v>3</v>
      </c>
      <c r="T39" s="11" t="s">
        <v>21</v>
      </c>
      <c r="U39" s="11" t="s">
        <v>22</v>
      </c>
      <c r="V39" s="11" t="s">
        <v>23</v>
      </c>
      <c r="W39" s="3" t="s">
        <v>7</v>
      </c>
      <c r="X39" s="11" t="s">
        <v>21</v>
      </c>
      <c r="Y39" s="11" t="s">
        <v>22</v>
      </c>
      <c r="Z39" s="11" t="s">
        <v>23</v>
      </c>
      <c r="AA39" s="3" t="s">
        <v>6</v>
      </c>
      <c r="AB39" s="11" t="s">
        <v>21</v>
      </c>
      <c r="AC39" s="11" t="s">
        <v>22</v>
      </c>
      <c r="AD39" s="11" t="s">
        <v>23</v>
      </c>
    </row>
    <row r="40" spans="1:46" x14ac:dyDescent="0.25">
      <c r="A40" s="4">
        <v>42370</v>
      </c>
      <c r="B40" s="2">
        <v>-96087.71</v>
      </c>
      <c r="C40" s="10">
        <f>B40*0.3149119</f>
        <v>-30259.163322749006</v>
      </c>
      <c r="D40" s="10">
        <f>B40*0.2502409</f>
        <v>-24045.075029339001</v>
      </c>
      <c r="E40" s="10">
        <f>B40*0.4348472</f>
        <v>-41783.471647912003</v>
      </c>
      <c r="F40" s="19">
        <v>49992.75</v>
      </c>
      <c r="G40" s="18">
        <f>F40*0.3149119</f>
        <v>15743.311888725</v>
      </c>
      <c r="H40" s="18">
        <f>F40*0.2502409</f>
        <v>12510.230753475</v>
      </c>
      <c r="I40" s="18">
        <f>F40*0.4348472</f>
        <v>21739.207357799998</v>
      </c>
      <c r="J40" s="19">
        <v>44526.67</v>
      </c>
      <c r="K40" s="18">
        <f>J40*0.3149119</f>
        <v>14021.978250373</v>
      </c>
      <c r="L40" s="18">
        <f>J40*0.2502409</f>
        <v>11142.393974802999</v>
      </c>
      <c r="M40" s="18">
        <f>J40*0.4348472</f>
        <v>19362.297774823997</v>
      </c>
      <c r="N40" s="5"/>
      <c r="O40" s="2">
        <f>3900+1570+24420</f>
        <v>29890</v>
      </c>
      <c r="P40" s="10">
        <f>O40*0.3149119</f>
        <v>9412.7166910000014</v>
      </c>
      <c r="Q40" s="10">
        <f>O40*0.2502409</f>
        <v>7479.7005009999993</v>
      </c>
      <c r="R40" s="10">
        <f>O40*0.4348472</f>
        <v>12997.582807999999</v>
      </c>
      <c r="S40" s="5">
        <f t="shared" ref="S40:S51" si="76">J40*2%</f>
        <v>890.53340000000003</v>
      </c>
      <c r="T40" s="10">
        <f>S40*0.3149119</f>
        <v>280.43956500746003</v>
      </c>
      <c r="U40" s="10">
        <f>S40*0.2502409</f>
        <v>222.84787949605999</v>
      </c>
      <c r="V40" s="10">
        <f>S40*0.4348472</f>
        <v>387.24595549648001</v>
      </c>
      <c r="W40" s="5">
        <f>O40+S40</f>
        <v>30780.5334</v>
      </c>
      <c r="X40" s="10">
        <f>W40*0.3149119</f>
        <v>9693.1562560074599</v>
      </c>
      <c r="Y40" s="10">
        <f>W40*0.2502409</f>
        <v>7702.5483804960595</v>
      </c>
      <c r="Z40" s="10">
        <f>W40*0.4348472</f>
        <v>13384.82876349648</v>
      </c>
      <c r="AA40" s="6">
        <f t="shared" ref="AA40:AA52" si="77">J40-W40+B40</f>
        <v>-82341.573400000008</v>
      </c>
      <c r="AB40" s="14">
        <f>AA40*0.3149119</f>
        <v>-25930.341328383463</v>
      </c>
      <c r="AC40" s="14">
        <f>AA40*0.2502409</f>
        <v>-20605.229435032063</v>
      </c>
      <c r="AD40" s="14">
        <f>AA40*0.4348472</f>
        <v>-35806.002636584482</v>
      </c>
    </row>
    <row r="41" spans="1:46" x14ac:dyDescent="0.25">
      <c r="A41" s="4">
        <v>42401</v>
      </c>
      <c r="B41" s="2">
        <v>-12835.04</v>
      </c>
      <c r="C41" s="10">
        <f t="shared" ref="C41:C52" si="78">B41*0.3149119</f>
        <v>-4041.9068329760007</v>
      </c>
      <c r="D41" s="10">
        <f t="shared" ref="D41:D52" si="79">B41*0.2502409</f>
        <v>-3211.8519611360002</v>
      </c>
      <c r="E41" s="10">
        <f t="shared" ref="E41:E52" si="80">B41*0.4348472</f>
        <v>-5581.2812058879999</v>
      </c>
      <c r="F41" s="19">
        <v>49992.75</v>
      </c>
      <c r="G41" s="18">
        <f t="shared" ref="G41:G52" si="81">F41*0.3149119</f>
        <v>15743.311888725</v>
      </c>
      <c r="H41" s="18">
        <f t="shared" ref="H41:H52" si="82">F41*0.2502409</f>
        <v>12510.230753475</v>
      </c>
      <c r="I41" s="18">
        <f t="shared" ref="I41:I52" si="83">F41*0.4348472</f>
        <v>21739.207357799998</v>
      </c>
      <c r="J41" s="19">
        <v>44526.67</v>
      </c>
      <c r="K41" s="18">
        <f t="shared" ref="K41:K52" si="84">J41*0.3149119</f>
        <v>14021.978250373</v>
      </c>
      <c r="L41" s="18">
        <f t="shared" ref="L41:L52" si="85">J41*0.2502409</f>
        <v>11142.393974802999</v>
      </c>
      <c r="M41" s="18">
        <f t="shared" ref="M41:M52" si="86">J41*0.4348472</f>
        <v>19362.297774823997</v>
      </c>
      <c r="N41" s="5"/>
      <c r="O41" s="2">
        <f>5014+3920+2373</f>
        <v>11307</v>
      </c>
      <c r="P41" s="10">
        <f t="shared" ref="P41:P52" si="87">O41*0.3149119</f>
        <v>3560.7088533000001</v>
      </c>
      <c r="Q41" s="10">
        <f t="shared" ref="Q41:Q52" si="88">O41*0.2502409</f>
        <v>2829.4738563000001</v>
      </c>
      <c r="R41" s="10">
        <f t="shared" ref="R41:R52" si="89">O41*0.4348472</f>
        <v>4916.8172904000003</v>
      </c>
      <c r="S41" s="5">
        <f t="shared" si="76"/>
        <v>890.53340000000003</v>
      </c>
      <c r="T41" s="10">
        <f t="shared" ref="T41:T52" si="90">S41*0.3149119</f>
        <v>280.43956500746003</v>
      </c>
      <c r="U41" s="10">
        <f t="shared" ref="U41:U52" si="91">S41*0.2502409</f>
        <v>222.84787949605999</v>
      </c>
      <c r="V41" s="10">
        <f t="shared" ref="V41:V52" si="92">S41*0.4348472</f>
        <v>387.24595549648001</v>
      </c>
      <c r="W41" s="5">
        <f t="shared" ref="W41:W52" si="93">O41+S41</f>
        <v>12197.5334</v>
      </c>
      <c r="X41" s="10">
        <f t="shared" ref="X41:X52" si="94">W41*0.3149119</f>
        <v>3841.1484183074604</v>
      </c>
      <c r="Y41" s="10">
        <f t="shared" ref="Y41:Y52" si="95">W41*0.2502409</f>
        <v>3052.3217357960598</v>
      </c>
      <c r="Z41" s="10">
        <f t="shared" ref="Z41:Z52" si="96">W41*0.4348472</f>
        <v>5304.0632458964801</v>
      </c>
      <c r="AA41" s="6">
        <f t="shared" si="77"/>
        <v>19494.096599999997</v>
      </c>
      <c r="AB41" s="14">
        <f t="shared" ref="AB41:AB52" si="97">AA41*0.3149119</f>
        <v>6138.9229990895392</v>
      </c>
      <c r="AC41" s="14">
        <f t="shared" ref="AC41:AC52" si="98">AA41*0.2502409</f>
        <v>4878.2202778709388</v>
      </c>
      <c r="AD41" s="14">
        <f t="shared" ref="AD41:AD52" si="99">AA41*0.4348472</f>
        <v>8476.9533230395191</v>
      </c>
    </row>
    <row r="42" spans="1:46" x14ac:dyDescent="0.25">
      <c r="A42" s="4">
        <v>42430</v>
      </c>
      <c r="B42" s="2">
        <v>139569.13</v>
      </c>
      <c r="C42" s="10">
        <f t="shared" si="78"/>
        <v>43951.979909647001</v>
      </c>
      <c r="D42" s="10">
        <f t="shared" si="79"/>
        <v>34925.904703417</v>
      </c>
      <c r="E42" s="10">
        <f t="shared" si="80"/>
        <v>60691.245386936003</v>
      </c>
      <c r="F42" s="19">
        <v>49992.75</v>
      </c>
      <c r="G42" s="18">
        <f t="shared" si="81"/>
        <v>15743.311888725</v>
      </c>
      <c r="H42" s="18">
        <f t="shared" si="82"/>
        <v>12510.230753475</v>
      </c>
      <c r="I42" s="18">
        <f t="shared" si="83"/>
        <v>21739.207357799998</v>
      </c>
      <c r="J42" s="19">
        <v>44526.67</v>
      </c>
      <c r="K42" s="18">
        <f t="shared" si="84"/>
        <v>14021.978250373</v>
      </c>
      <c r="L42" s="18">
        <f t="shared" si="85"/>
        <v>11142.393974802999</v>
      </c>
      <c r="M42" s="18">
        <f t="shared" si="86"/>
        <v>19362.297774823997</v>
      </c>
      <c r="N42" s="5"/>
      <c r="O42" s="2">
        <f>10075+9100+900+260</f>
        <v>20335</v>
      </c>
      <c r="P42" s="10">
        <f t="shared" si="87"/>
        <v>6403.7334865000003</v>
      </c>
      <c r="Q42" s="10">
        <f t="shared" si="88"/>
        <v>5088.6487014999993</v>
      </c>
      <c r="R42" s="10">
        <f t="shared" si="89"/>
        <v>8842.6178120000004</v>
      </c>
      <c r="S42" s="5">
        <f t="shared" si="76"/>
        <v>890.53340000000003</v>
      </c>
      <c r="T42" s="10">
        <f t="shared" si="90"/>
        <v>280.43956500746003</v>
      </c>
      <c r="U42" s="10">
        <f t="shared" si="91"/>
        <v>222.84787949605999</v>
      </c>
      <c r="V42" s="10">
        <f t="shared" si="92"/>
        <v>387.24595549648001</v>
      </c>
      <c r="W42" s="5">
        <f t="shared" si="93"/>
        <v>21225.5334</v>
      </c>
      <c r="X42" s="10">
        <f t="shared" si="94"/>
        <v>6684.1730515074605</v>
      </c>
      <c r="Y42" s="10">
        <f t="shared" si="95"/>
        <v>5311.4965809960595</v>
      </c>
      <c r="Z42" s="10">
        <f t="shared" si="96"/>
        <v>9229.8637674964793</v>
      </c>
      <c r="AA42" s="6">
        <f t="shared" si="77"/>
        <v>162870.2666</v>
      </c>
      <c r="AB42" s="14">
        <f t="shared" si="97"/>
        <v>51289.785108512544</v>
      </c>
      <c r="AC42" s="14">
        <f t="shared" si="98"/>
        <v>40756.802097223939</v>
      </c>
      <c r="AD42" s="14">
        <f t="shared" si="99"/>
        <v>70823.679394263512</v>
      </c>
    </row>
    <row r="43" spans="1:46" x14ac:dyDescent="0.25">
      <c r="A43" s="4">
        <v>42461</v>
      </c>
      <c r="B43" s="2">
        <v>144982.31</v>
      </c>
      <c r="C43" s="10">
        <f t="shared" si="78"/>
        <v>45656.654708489004</v>
      </c>
      <c r="D43" s="10">
        <f t="shared" si="79"/>
        <v>36280.503738478998</v>
      </c>
      <c r="E43" s="10">
        <f t="shared" si="80"/>
        <v>63045.151553031996</v>
      </c>
      <c r="F43" s="19">
        <v>49992.75</v>
      </c>
      <c r="G43" s="18">
        <f t="shared" si="81"/>
        <v>15743.311888725</v>
      </c>
      <c r="H43" s="18">
        <f t="shared" si="82"/>
        <v>12510.230753475</v>
      </c>
      <c r="I43" s="18">
        <f t="shared" si="83"/>
        <v>21739.207357799998</v>
      </c>
      <c r="J43" s="19">
        <v>44526.67</v>
      </c>
      <c r="K43" s="18">
        <f t="shared" si="84"/>
        <v>14021.978250373</v>
      </c>
      <c r="L43" s="18">
        <f t="shared" si="85"/>
        <v>11142.393974802999</v>
      </c>
      <c r="M43" s="18">
        <f t="shared" si="86"/>
        <v>19362.297774823997</v>
      </c>
      <c r="N43" s="5"/>
      <c r="O43" s="2">
        <f>7623+17476+4405+1610+9976</f>
        <v>41090</v>
      </c>
      <c r="P43" s="10">
        <f t="shared" si="87"/>
        <v>12939.729971000001</v>
      </c>
      <c r="Q43" s="10">
        <f t="shared" si="88"/>
        <v>10282.398580999999</v>
      </c>
      <c r="R43" s="10">
        <f t="shared" si="89"/>
        <v>17867.871447999998</v>
      </c>
      <c r="S43" s="5">
        <f t="shared" si="76"/>
        <v>890.53340000000003</v>
      </c>
      <c r="T43" s="10">
        <f t="shared" si="90"/>
        <v>280.43956500746003</v>
      </c>
      <c r="U43" s="10">
        <f t="shared" si="91"/>
        <v>222.84787949605999</v>
      </c>
      <c r="V43" s="10">
        <f t="shared" si="92"/>
        <v>387.24595549648001</v>
      </c>
      <c r="W43" s="5">
        <f t="shared" si="93"/>
        <v>41980.5334</v>
      </c>
      <c r="X43" s="10">
        <f t="shared" si="94"/>
        <v>13220.169536007461</v>
      </c>
      <c r="Y43" s="10">
        <f t="shared" si="95"/>
        <v>10505.246460496059</v>
      </c>
      <c r="Z43" s="10">
        <f t="shared" si="96"/>
        <v>18255.117403496479</v>
      </c>
      <c r="AA43" s="6">
        <f t="shared" si="77"/>
        <v>147528.4466</v>
      </c>
      <c r="AB43" s="14">
        <f t="shared" si="97"/>
        <v>46458.46342285454</v>
      </c>
      <c r="AC43" s="14">
        <f t="shared" si="98"/>
        <v>36917.651252785938</v>
      </c>
      <c r="AD43" s="14">
        <f t="shared" si="99"/>
        <v>64152.331924359518</v>
      </c>
    </row>
    <row r="44" spans="1:46" x14ac:dyDescent="0.25">
      <c r="A44" s="4">
        <v>42491</v>
      </c>
      <c r="B44" s="2">
        <v>86450.52</v>
      </c>
      <c r="C44" s="10">
        <f t="shared" si="78"/>
        <v>27224.297509188003</v>
      </c>
      <c r="D44" s="10">
        <f t="shared" si="79"/>
        <v>21633.455930267999</v>
      </c>
      <c r="E44" s="10">
        <f t="shared" si="80"/>
        <v>37592.766560543998</v>
      </c>
      <c r="F44" s="19">
        <v>49992.75</v>
      </c>
      <c r="G44" s="18">
        <f t="shared" si="81"/>
        <v>15743.311888725</v>
      </c>
      <c r="H44" s="18">
        <f t="shared" si="82"/>
        <v>12510.230753475</v>
      </c>
      <c r="I44" s="18">
        <f t="shared" si="83"/>
        <v>21739.207357799998</v>
      </c>
      <c r="J44" s="19">
        <v>44526.67</v>
      </c>
      <c r="K44" s="18">
        <f t="shared" si="84"/>
        <v>14021.978250373</v>
      </c>
      <c r="L44" s="18">
        <f t="shared" si="85"/>
        <v>11142.393974802999</v>
      </c>
      <c r="M44" s="18">
        <f t="shared" si="86"/>
        <v>19362.297774823997</v>
      </c>
      <c r="N44" s="5"/>
      <c r="O44" s="2">
        <f>9189+1128+21228</f>
        <v>31545</v>
      </c>
      <c r="P44" s="10">
        <f t="shared" si="87"/>
        <v>9933.8958855000001</v>
      </c>
      <c r="Q44" s="10">
        <f t="shared" si="88"/>
        <v>7893.8491905000001</v>
      </c>
      <c r="R44" s="10">
        <f t="shared" si="89"/>
        <v>13717.254923999999</v>
      </c>
      <c r="S44" s="5">
        <f t="shared" si="76"/>
        <v>890.53340000000003</v>
      </c>
      <c r="T44" s="10">
        <f t="shared" si="90"/>
        <v>280.43956500746003</v>
      </c>
      <c r="U44" s="10">
        <f t="shared" si="91"/>
        <v>222.84787949605999</v>
      </c>
      <c r="V44" s="10">
        <f t="shared" si="92"/>
        <v>387.24595549648001</v>
      </c>
      <c r="W44" s="5">
        <f t="shared" si="93"/>
        <v>32435.5334</v>
      </c>
      <c r="X44" s="10">
        <f t="shared" si="94"/>
        <v>10214.33545050746</v>
      </c>
      <c r="Y44" s="10">
        <f t="shared" si="95"/>
        <v>8116.6970699960593</v>
      </c>
      <c r="Z44" s="10">
        <f t="shared" si="96"/>
        <v>14104.50087949648</v>
      </c>
      <c r="AA44" s="6">
        <f t="shared" si="77"/>
        <v>98541.656600000002</v>
      </c>
      <c r="AB44" s="14">
        <f t="shared" si="97"/>
        <v>31031.940309053542</v>
      </c>
      <c r="AC44" s="14">
        <f t="shared" si="98"/>
        <v>24659.15283507494</v>
      </c>
      <c r="AD44" s="14">
        <f t="shared" si="99"/>
        <v>42850.563455871517</v>
      </c>
    </row>
    <row r="45" spans="1:46" x14ac:dyDescent="0.25">
      <c r="A45" s="4">
        <v>42522</v>
      </c>
      <c r="B45" s="2">
        <v>146023.54999999999</v>
      </c>
      <c r="C45" s="10">
        <f t="shared" si="78"/>
        <v>45984.553575245001</v>
      </c>
      <c r="D45" s="10">
        <f t="shared" si="79"/>
        <v>36541.064573194999</v>
      </c>
      <c r="E45" s="10">
        <f t="shared" si="80"/>
        <v>63497.931851559995</v>
      </c>
      <c r="F45" s="19">
        <v>49992.75</v>
      </c>
      <c r="G45" s="18">
        <f t="shared" si="81"/>
        <v>15743.311888725</v>
      </c>
      <c r="H45" s="18">
        <f t="shared" si="82"/>
        <v>12510.230753475</v>
      </c>
      <c r="I45" s="18">
        <f t="shared" si="83"/>
        <v>21739.207357799998</v>
      </c>
      <c r="J45" s="19">
        <v>44526.67</v>
      </c>
      <c r="K45" s="18">
        <f t="shared" si="84"/>
        <v>14021.978250373</v>
      </c>
      <c r="L45" s="18">
        <f t="shared" si="85"/>
        <v>11142.393974802999</v>
      </c>
      <c r="M45" s="18">
        <f t="shared" si="86"/>
        <v>19362.297774823997</v>
      </c>
      <c r="N45" s="5"/>
      <c r="O45" s="2">
        <f>18117+2985+1607+173181</f>
        <v>195890</v>
      </c>
      <c r="P45" s="10">
        <f t="shared" si="87"/>
        <v>61688.092091000006</v>
      </c>
      <c r="Q45" s="10">
        <f t="shared" si="88"/>
        <v>49019.689900999998</v>
      </c>
      <c r="R45" s="10">
        <f t="shared" si="89"/>
        <v>85182.218007999996</v>
      </c>
      <c r="S45" s="5">
        <f t="shared" si="76"/>
        <v>890.53340000000003</v>
      </c>
      <c r="T45" s="10">
        <f t="shared" si="90"/>
        <v>280.43956500746003</v>
      </c>
      <c r="U45" s="10">
        <f t="shared" si="91"/>
        <v>222.84787949605999</v>
      </c>
      <c r="V45" s="10">
        <f t="shared" si="92"/>
        <v>387.24595549648001</v>
      </c>
      <c r="W45" s="5">
        <f t="shared" si="93"/>
        <v>196780.53339999999</v>
      </c>
      <c r="X45" s="10">
        <f t="shared" si="94"/>
        <v>61968.531656007457</v>
      </c>
      <c r="Y45" s="10">
        <f t="shared" si="95"/>
        <v>49242.537780496052</v>
      </c>
      <c r="Z45" s="10">
        <f t="shared" si="96"/>
        <v>85569.46396349647</v>
      </c>
      <c r="AA45" s="6">
        <f t="shared" si="77"/>
        <v>-6230.3133999999845</v>
      </c>
      <c r="AB45" s="14">
        <f t="shared" si="97"/>
        <v>-1961.9998303894554</v>
      </c>
      <c r="AC45" s="14">
        <f t="shared" si="98"/>
        <v>-1559.0792324980562</v>
      </c>
      <c r="AD45" s="14">
        <f t="shared" si="99"/>
        <v>-2709.234337112473</v>
      </c>
    </row>
    <row r="46" spans="1:46" x14ac:dyDescent="0.25">
      <c r="A46" s="4">
        <v>42552</v>
      </c>
      <c r="B46" s="2">
        <v>141000.31</v>
      </c>
      <c r="C46" s="10">
        <f t="shared" si="78"/>
        <v>44402.675522689002</v>
      </c>
      <c r="D46" s="10">
        <f t="shared" si="79"/>
        <v>35284.044474678994</v>
      </c>
      <c r="E46" s="10">
        <f t="shared" si="80"/>
        <v>61313.590002631994</v>
      </c>
      <c r="F46" s="19">
        <v>49992.75</v>
      </c>
      <c r="G46" s="18">
        <f t="shared" si="81"/>
        <v>15743.311888725</v>
      </c>
      <c r="H46" s="18">
        <f t="shared" si="82"/>
        <v>12510.230753475</v>
      </c>
      <c r="I46" s="18">
        <f t="shared" si="83"/>
        <v>21739.207357799998</v>
      </c>
      <c r="J46" s="19">
        <v>44526.67</v>
      </c>
      <c r="K46" s="18">
        <f t="shared" si="84"/>
        <v>14021.978250373</v>
      </c>
      <c r="L46" s="18">
        <f t="shared" si="85"/>
        <v>11142.393974802999</v>
      </c>
      <c r="M46" s="18">
        <f t="shared" si="86"/>
        <v>19362.297774823997</v>
      </c>
      <c r="N46" s="5"/>
      <c r="O46" s="2">
        <f>17000+3859+145545</f>
        <v>166404</v>
      </c>
      <c r="P46" s="10">
        <f t="shared" si="87"/>
        <v>52402.599807600003</v>
      </c>
      <c r="Q46" s="10">
        <f t="shared" si="88"/>
        <v>41641.086723599998</v>
      </c>
      <c r="R46" s="10">
        <f t="shared" si="89"/>
        <v>72360.313468799999</v>
      </c>
      <c r="S46" s="5">
        <f t="shared" si="76"/>
        <v>890.53340000000003</v>
      </c>
      <c r="T46" s="10">
        <f t="shared" si="90"/>
        <v>280.43956500746003</v>
      </c>
      <c r="U46" s="10">
        <f t="shared" si="91"/>
        <v>222.84787949605999</v>
      </c>
      <c r="V46" s="10">
        <f t="shared" si="92"/>
        <v>387.24595549648001</v>
      </c>
      <c r="W46" s="5">
        <f t="shared" si="93"/>
        <v>167294.53339999999</v>
      </c>
      <c r="X46" s="10">
        <f t="shared" si="94"/>
        <v>52683.039372607462</v>
      </c>
      <c r="Y46" s="10">
        <f t="shared" si="95"/>
        <v>41863.934603096051</v>
      </c>
      <c r="Z46" s="10">
        <f t="shared" si="96"/>
        <v>72747.559424296473</v>
      </c>
      <c r="AA46" s="6">
        <f t="shared" si="77"/>
        <v>18232.44660000001</v>
      </c>
      <c r="AB46" s="14">
        <f t="shared" si="97"/>
        <v>5741.614400454544</v>
      </c>
      <c r="AC46" s="14">
        <f t="shared" si="98"/>
        <v>4562.5038463859428</v>
      </c>
      <c r="AD46" s="14">
        <f t="shared" si="99"/>
        <v>7928.3283531595243</v>
      </c>
    </row>
    <row r="47" spans="1:46" x14ac:dyDescent="0.25">
      <c r="A47" s="4">
        <v>42583</v>
      </c>
      <c r="B47" s="2">
        <v>106365.01</v>
      </c>
      <c r="C47" s="10">
        <f t="shared" si="78"/>
        <v>33495.607392619</v>
      </c>
      <c r="D47" s="10">
        <f t="shared" si="79"/>
        <v>26616.875830908997</v>
      </c>
      <c r="E47" s="10">
        <f t="shared" si="80"/>
        <v>46252.526776471997</v>
      </c>
      <c r="F47" s="19">
        <v>49992.75</v>
      </c>
      <c r="G47" s="18">
        <f t="shared" si="81"/>
        <v>15743.311888725</v>
      </c>
      <c r="H47" s="18">
        <f t="shared" si="82"/>
        <v>12510.230753475</v>
      </c>
      <c r="I47" s="18">
        <f t="shared" si="83"/>
        <v>21739.207357799998</v>
      </c>
      <c r="J47" s="19">
        <v>44526.67</v>
      </c>
      <c r="K47" s="18">
        <f t="shared" si="84"/>
        <v>14021.978250373</v>
      </c>
      <c r="L47" s="18">
        <f t="shared" si="85"/>
        <v>11142.393974802999</v>
      </c>
      <c r="M47" s="18">
        <f t="shared" si="86"/>
        <v>19362.297774823997</v>
      </c>
      <c r="N47" s="5"/>
      <c r="O47" s="2">
        <f>6100+12378+5219</f>
        <v>23697</v>
      </c>
      <c r="P47" s="10">
        <f t="shared" si="87"/>
        <v>7462.4672943000005</v>
      </c>
      <c r="Q47" s="10">
        <f t="shared" si="88"/>
        <v>5929.9586073</v>
      </c>
      <c r="R47" s="10">
        <f t="shared" si="89"/>
        <v>10304.5740984</v>
      </c>
      <c r="S47" s="5">
        <f t="shared" si="76"/>
        <v>890.53340000000003</v>
      </c>
      <c r="T47" s="10">
        <f t="shared" si="90"/>
        <v>280.43956500746003</v>
      </c>
      <c r="U47" s="10">
        <f t="shared" si="91"/>
        <v>222.84787949605999</v>
      </c>
      <c r="V47" s="10">
        <f t="shared" si="92"/>
        <v>387.24595549648001</v>
      </c>
      <c r="W47" s="5">
        <f t="shared" si="93"/>
        <v>24587.5334</v>
      </c>
      <c r="X47" s="10">
        <f t="shared" si="94"/>
        <v>7742.9068593074608</v>
      </c>
      <c r="Y47" s="10">
        <f t="shared" si="95"/>
        <v>6152.8064867960602</v>
      </c>
      <c r="Z47" s="10">
        <f t="shared" si="96"/>
        <v>10691.820053896479</v>
      </c>
      <c r="AA47" s="6">
        <f t="shared" si="77"/>
        <v>126304.14659999999</v>
      </c>
      <c r="AB47" s="14">
        <f t="shared" si="97"/>
        <v>39774.67878368454</v>
      </c>
      <c r="AC47" s="14">
        <f t="shared" si="98"/>
        <v>31606.463318915936</v>
      </c>
      <c r="AD47" s="14">
        <f t="shared" si="99"/>
        <v>54923.004497399517</v>
      </c>
    </row>
    <row r="48" spans="1:46" x14ac:dyDescent="0.25">
      <c r="A48" s="4">
        <v>42614</v>
      </c>
      <c r="B48" s="2">
        <v>162064.19</v>
      </c>
      <c r="C48" s="10">
        <f t="shared" si="78"/>
        <v>51035.941994861001</v>
      </c>
      <c r="D48" s="10">
        <f t="shared" si="79"/>
        <v>40555.088763371001</v>
      </c>
      <c r="E48" s="10">
        <f t="shared" si="80"/>
        <v>70473.159241767993</v>
      </c>
      <c r="F48" s="19">
        <v>49992.75</v>
      </c>
      <c r="G48" s="18">
        <f t="shared" si="81"/>
        <v>15743.311888725</v>
      </c>
      <c r="H48" s="18">
        <f t="shared" si="82"/>
        <v>12510.230753475</v>
      </c>
      <c r="I48" s="18">
        <f t="shared" si="83"/>
        <v>21739.207357799998</v>
      </c>
      <c r="J48" s="19">
        <v>44526.67</v>
      </c>
      <c r="K48" s="18">
        <f t="shared" si="84"/>
        <v>14021.978250373</v>
      </c>
      <c r="L48" s="18">
        <f t="shared" si="85"/>
        <v>11142.393974802999</v>
      </c>
      <c r="M48" s="18">
        <f t="shared" si="86"/>
        <v>19362.297774823997</v>
      </c>
      <c r="N48" s="5"/>
      <c r="O48" s="2">
        <f>5404+2318+530+1060+960+1150</f>
        <v>11422</v>
      </c>
      <c r="P48" s="10">
        <f t="shared" si="87"/>
        <v>3596.9237218000003</v>
      </c>
      <c r="Q48" s="10">
        <f t="shared" si="88"/>
        <v>2858.2515598</v>
      </c>
      <c r="R48" s="10">
        <f t="shared" si="89"/>
        <v>4966.8247184000002</v>
      </c>
      <c r="S48" s="5">
        <f t="shared" si="76"/>
        <v>890.53340000000003</v>
      </c>
      <c r="T48" s="10">
        <f t="shared" si="90"/>
        <v>280.43956500746003</v>
      </c>
      <c r="U48" s="10">
        <f t="shared" si="91"/>
        <v>222.84787949605999</v>
      </c>
      <c r="V48" s="10">
        <f t="shared" si="92"/>
        <v>387.24595549648001</v>
      </c>
      <c r="W48" s="5">
        <f t="shared" si="93"/>
        <v>12312.5334</v>
      </c>
      <c r="X48" s="10">
        <f t="shared" si="94"/>
        <v>3877.3632868074606</v>
      </c>
      <c r="Y48" s="10">
        <f t="shared" si="95"/>
        <v>3081.0994392960597</v>
      </c>
      <c r="Z48" s="10">
        <f t="shared" si="96"/>
        <v>5354.07067389648</v>
      </c>
      <c r="AA48" s="6">
        <f t="shared" si="77"/>
        <v>194278.3266</v>
      </c>
      <c r="AB48" s="14">
        <f t="shared" si="97"/>
        <v>61180.556958426547</v>
      </c>
      <c r="AC48" s="14">
        <f t="shared" si="98"/>
        <v>48616.38329887794</v>
      </c>
      <c r="AD48" s="14">
        <f t="shared" si="99"/>
        <v>84481.386342695521</v>
      </c>
    </row>
    <row r="49" spans="1:30" x14ac:dyDescent="0.25">
      <c r="A49" s="4">
        <v>42644</v>
      </c>
      <c r="B49" s="2">
        <v>47421.96</v>
      </c>
      <c r="C49" s="10">
        <f t="shared" si="78"/>
        <v>14933.739525324001</v>
      </c>
      <c r="D49" s="10">
        <f t="shared" si="79"/>
        <v>11866.913950163998</v>
      </c>
      <c r="E49" s="10">
        <f t="shared" si="80"/>
        <v>20621.306524511998</v>
      </c>
      <c r="F49" s="19">
        <v>49992.75</v>
      </c>
      <c r="G49" s="18">
        <f t="shared" si="81"/>
        <v>15743.311888725</v>
      </c>
      <c r="H49" s="18">
        <f t="shared" si="82"/>
        <v>12510.230753475</v>
      </c>
      <c r="I49" s="18">
        <f t="shared" si="83"/>
        <v>21739.207357799998</v>
      </c>
      <c r="J49" s="19">
        <v>44526.67</v>
      </c>
      <c r="K49" s="18">
        <f t="shared" si="84"/>
        <v>14021.978250373</v>
      </c>
      <c r="L49" s="18">
        <f t="shared" si="85"/>
        <v>11142.393974802999</v>
      </c>
      <c r="M49" s="18">
        <f t="shared" si="86"/>
        <v>19362.297774823997</v>
      </c>
      <c r="N49" s="5"/>
      <c r="O49" s="2">
        <v>3920</v>
      </c>
      <c r="P49" s="10">
        <f t="shared" si="87"/>
        <v>1234.4546480000001</v>
      </c>
      <c r="Q49" s="10">
        <f t="shared" si="88"/>
        <v>980.94432799999993</v>
      </c>
      <c r="R49" s="10">
        <f t="shared" si="89"/>
        <v>1704.6010240000001</v>
      </c>
      <c r="S49" s="5">
        <f t="shared" si="76"/>
        <v>890.53340000000003</v>
      </c>
      <c r="T49" s="10">
        <f t="shared" si="90"/>
        <v>280.43956500746003</v>
      </c>
      <c r="U49" s="10">
        <f t="shared" si="91"/>
        <v>222.84787949605999</v>
      </c>
      <c r="V49" s="10">
        <f t="shared" si="92"/>
        <v>387.24595549648001</v>
      </c>
      <c r="W49" s="5">
        <f t="shared" si="93"/>
        <v>4810.5334000000003</v>
      </c>
      <c r="X49" s="10">
        <f t="shared" si="94"/>
        <v>1514.8942130074602</v>
      </c>
      <c r="Y49" s="10">
        <f t="shared" si="95"/>
        <v>1203.79220749606</v>
      </c>
      <c r="Z49" s="10">
        <f t="shared" si="96"/>
        <v>2091.8469794964799</v>
      </c>
      <c r="AA49" s="6">
        <f t="shared" si="77"/>
        <v>87138.09659999999</v>
      </c>
      <c r="AB49" s="14">
        <f t="shared" si="97"/>
        <v>27440.82356268954</v>
      </c>
      <c r="AC49" s="14">
        <f t="shared" si="98"/>
        <v>21805.515717470935</v>
      </c>
      <c r="AD49" s="14">
        <f t="shared" si="99"/>
        <v>37891.757319839511</v>
      </c>
    </row>
    <row r="50" spans="1:30" x14ac:dyDescent="0.25">
      <c r="A50" s="4">
        <v>42675</v>
      </c>
      <c r="B50" s="2">
        <v>-347423.21</v>
      </c>
      <c r="C50" s="10">
        <f t="shared" si="78"/>
        <v>-109407.70316519901</v>
      </c>
      <c r="D50" s="10">
        <f t="shared" si="79"/>
        <v>-86939.496751289</v>
      </c>
      <c r="E50" s="10">
        <f t="shared" si="80"/>
        <v>-151076.010083512</v>
      </c>
      <c r="F50" s="19">
        <v>49992.75</v>
      </c>
      <c r="G50" s="18">
        <f t="shared" si="81"/>
        <v>15743.311888725</v>
      </c>
      <c r="H50" s="18">
        <f t="shared" si="82"/>
        <v>12510.230753475</v>
      </c>
      <c r="I50" s="18">
        <f t="shared" si="83"/>
        <v>21739.207357799998</v>
      </c>
      <c r="J50" s="19">
        <v>44526.67</v>
      </c>
      <c r="K50" s="18">
        <f t="shared" si="84"/>
        <v>14021.978250373</v>
      </c>
      <c r="L50" s="18">
        <f t="shared" si="85"/>
        <v>11142.393974802999</v>
      </c>
      <c r="M50" s="18">
        <f t="shared" si="86"/>
        <v>19362.297774823997</v>
      </c>
      <c r="N50" s="5"/>
      <c r="O50" s="2">
        <f>4119+3507+4439</f>
        <v>12065</v>
      </c>
      <c r="P50" s="10">
        <f t="shared" si="87"/>
        <v>3799.4120735000001</v>
      </c>
      <c r="Q50" s="10">
        <f t="shared" si="88"/>
        <v>3019.1564584999996</v>
      </c>
      <c r="R50" s="10">
        <f t="shared" si="89"/>
        <v>5246.4314679999998</v>
      </c>
      <c r="S50" s="5">
        <f t="shared" si="76"/>
        <v>890.53340000000003</v>
      </c>
      <c r="T50" s="10">
        <f t="shared" si="90"/>
        <v>280.43956500746003</v>
      </c>
      <c r="U50" s="10">
        <f t="shared" si="91"/>
        <v>222.84787949605999</v>
      </c>
      <c r="V50" s="10">
        <f t="shared" si="92"/>
        <v>387.24595549648001</v>
      </c>
      <c r="W50" s="5">
        <f t="shared" si="93"/>
        <v>12955.5334</v>
      </c>
      <c r="X50" s="10">
        <f t="shared" si="94"/>
        <v>4079.8516385074604</v>
      </c>
      <c r="Y50" s="10">
        <f t="shared" si="95"/>
        <v>3242.0043379960598</v>
      </c>
      <c r="Z50" s="10">
        <f t="shared" si="96"/>
        <v>5633.6774234964796</v>
      </c>
      <c r="AA50" s="6">
        <f t="shared" si="77"/>
        <v>-315852.07339999999</v>
      </c>
      <c r="AB50" s="14">
        <f t="shared" si="97"/>
        <v>-99465.576553333463</v>
      </c>
      <c r="AC50" s="14">
        <f t="shared" si="98"/>
        <v>-79039.10711448206</v>
      </c>
      <c r="AD50" s="14">
        <f t="shared" si="99"/>
        <v>-137347.38973218447</v>
      </c>
    </row>
    <row r="51" spans="1:30" x14ac:dyDescent="0.25">
      <c r="A51" s="4">
        <v>42705</v>
      </c>
      <c r="B51" s="2">
        <v>198427.01</v>
      </c>
      <c r="C51" s="10">
        <f t="shared" si="78"/>
        <v>62487.026730419006</v>
      </c>
      <c r="D51" s="10">
        <f t="shared" si="79"/>
        <v>49654.553566709001</v>
      </c>
      <c r="E51" s="10">
        <f t="shared" si="80"/>
        <v>86285.429702872003</v>
      </c>
      <c r="F51" s="19">
        <v>49992.75</v>
      </c>
      <c r="G51" s="18">
        <f t="shared" si="81"/>
        <v>15743.311888725</v>
      </c>
      <c r="H51" s="18">
        <f t="shared" si="82"/>
        <v>12510.230753475</v>
      </c>
      <c r="I51" s="18">
        <f t="shared" si="83"/>
        <v>21739.207357799998</v>
      </c>
      <c r="J51" s="19">
        <v>44526.67</v>
      </c>
      <c r="K51" s="18">
        <f t="shared" si="84"/>
        <v>14021.978250373</v>
      </c>
      <c r="L51" s="18">
        <f t="shared" si="85"/>
        <v>11142.393974802999</v>
      </c>
      <c r="M51" s="18">
        <f t="shared" si="86"/>
        <v>19362.297774823997</v>
      </c>
      <c r="N51" s="5"/>
      <c r="O51" s="2">
        <f>1531+2132+566</f>
        <v>4229</v>
      </c>
      <c r="P51" s="10">
        <f t="shared" si="87"/>
        <v>1331.7624251000002</v>
      </c>
      <c r="Q51" s="10">
        <f t="shared" si="88"/>
        <v>1058.2687661</v>
      </c>
      <c r="R51" s="10">
        <f t="shared" si="89"/>
        <v>1838.9688088</v>
      </c>
      <c r="S51" s="5">
        <f t="shared" si="76"/>
        <v>890.53340000000003</v>
      </c>
      <c r="T51" s="10">
        <f t="shared" si="90"/>
        <v>280.43956500746003</v>
      </c>
      <c r="U51" s="10">
        <f t="shared" si="91"/>
        <v>222.84787949605999</v>
      </c>
      <c r="V51" s="10">
        <f t="shared" si="92"/>
        <v>387.24595549648001</v>
      </c>
      <c r="W51" s="5">
        <f t="shared" si="93"/>
        <v>5119.5334000000003</v>
      </c>
      <c r="X51" s="10">
        <f t="shared" si="94"/>
        <v>1612.2019901074602</v>
      </c>
      <c r="Y51" s="10">
        <f t="shared" si="95"/>
        <v>1281.1166455960599</v>
      </c>
      <c r="Z51" s="10">
        <f t="shared" si="96"/>
        <v>2226.2147642964801</v>
      </c>
      <c r="AA51" s="6">
        <f t="shared" si="77"/>
        <v>237834.14660000001</v>
      </c>
      <c r="AB51" s="14">
        <f t="shared" si="97"/>
        <v>74896.802990684548</v>
      </c>
      <c r="AC51" s="14">
        <f t="shared" si="98"/>
        <v>59515.83089591594</v>
      </c>
      <c r="AD51" s="14">
        <f t="shared" si="99"/>
        <v>103421.51271339953</v>
      </c>
    </row>
    <row r="52" spans="1:30" x14ac:dyDescent="0.25">
      <c r="A52" s="2" t="s">
        <v>4</v>
      </c>
      <c r="B52" s="2">
        <f>SUM(B40:B51)</f>
        <v>715958.03</v>
      </c>
      <c r="C52" s="10">
        <f t="shared" si="78"/>
        <v>225463.70354755703</v>
      </c>
      <c r="D52" s="10">
        <f t="shared" si="79"/>
        <v>179161.98178942699</v>
      </c>
      <c r="E52" s="10">
        <f t="shared" si="80"/>
        <v>311332.34466301603</v>
      </c>
      <c r="F52" s="6">
        <f>SUM(F40:F51)</f>
        <v>599913</v>
      </c>
      <c r="G52" s="18">
        <f t="shared" si="81"/>
        <v>188919.74266470002</v>
      </c>
      <c r="H52" s="18">
        <f t="shared" si="82"/>
        <v>150122.7690417</v>
      </c>
      <c r="I52" s="18">
        <f t="shared" si="83"/>
        <v>260870.48829360001</v>
      </c>
      <c r="J52" s="6">
        <f>SUM(J40:J51)</f>
        <v>534320.03999999992</v>
      </c>
      <c r="K52" s="18">
        <f t="shared" si="84"/>
        <v>168263.739004476</v>
      </c>
      <c r="L52" s="18">
        <f t="shared" si="85"/>
        <v>133708.72769763597</v>
      </c>
      <c r="M52" s="18">
        <f t="shared" si="86"/>
        <v>232347.57329788795</v>
      </c>
      <c r="N52" s="5">
        <f t="shared" ref="N52" si="100">J52/F52*100</f>
        <v>89.066254606917994</v>
      </c>
      <c r="O52" s="2">
        <f>SUM(O40:O51)</f>
        <v>551794</v>
      </c>
      <c r="P52" s="10">
        <f t="shared" si="87"/>
        <v>173766.49694860002</v>
      </c>
      <c r="Q52" s="10">
        <f t="shared" si="88"/>
        <v>138081.42717459999</v>
      </c>
      <c r="R52" s="10">
        <f t="shared" si="89"/>
        <v>239946.07587679999</v>
      </c>
      <c r="S52" s="5">
        <f>SUM(S40:S51)</f>
        <v>10686.400800000001</v>
      </c>
      <c r="T52" s="10">
        <f t="shared" si="90"/>
        <v>3365.2747800895208</v>
      </c>
      <c r="U52" s="10">
        <f t="shared" si="91"/>
        <v>2674.1745539527201</v>
      </c>
      <c r="V52" s="10">
        <f t="shared" si="92"/>
        <v>4646.9514659577608</v>
      </c>
      <c r="W52" s="5">
        <f t="shared" si="93"/>
        <v>562480.40079999994</v>
      </c>
      <c r="X52" s="10">
        <f t="shared" si="94"/>
        <v>177131.77172868952</v>
      </c>
      <c r="Y52" s="10">
        <f t="shared" si="95"/>
        <v>140755.60172855269</v>
      </c>
      <c r="Z52" s="10">
        <f t="shared" si="96"/>
        <v>244593.02734275773</v>
      </c>
      <c r="AA52" s="6">
        <f t="shared" si="77"/>
        <v>687797.6692</v>
      </c>
      <c r="AB52" s="14">
        <f t="shared" si="97"/>
        <v>216595.67082334351</v>
      </c>
      <c r="AC52" s="14">
        <f t="shared" si="98"/>
        <v>172115.10775851028</v>
      </c>
      <c r="AD52" s="14">
        <f t="shared" si="99"/>
        <v>299086.89061814622</v>
      </c>
    </row>
    <row r="55" spans="1:30" x14ac:dyDescent="0.25">
      <c r="O55" s="1" t="s">
        <v>17</v>
      </c>
    </row>
    <row r="56" spans="1:30" ht="110.25" x14ac:dyDescent="0.25">
      <c r="A56" s="2" t="s">
        <v>11</v>
      </c>
      <c r="B56" s="3" t="s">
        <v>12</v>
      </c>
      <c r="C56" s="11" t="s">
        <v>21</v>
      </c>
      <c r="D56" s="11" t="s">
        <v>22</v>
      </c>
      <c r="E56" s="11" t="s">
        <v>23</v>
      </c>
      <c r="F56" s="3" t="s">
        <v>0</v>
      </c>
      <c r="G56" s="11" t="s">
        <v>21</v>
      </c>
      <c r="H56" s="11" t="s">
        <v>22</v>
      </c>
      <c r="I56" s="11" t="s">
        <v>23</v>
      </c>
      <c r="J56" s="3" t="s">
        <v>1</v>
      </c>
      <c r="K56" s="11" t="s">
        <v>21</v>
      </c>
      <c r="L56" s="11" t="s">
        <v>22</v>
      </c>
      <c r="M56" s="11" t="s">
        <v>23</v>
      </c>
      <c r="N56" s="3" t="s">
        <v>2</v>
      </c>
      <c r="O56" s="3" t="s">
        <v>19</v>
      </c>
      <c r="P56" s="11" t="s">
        <v>21</v>
      </c>
      <c r="Q56" s="11" t="s">
        <v>22</v>
      </c>
      <c r="R56" s="11" t="s">
        <v>23</v>
      </c>
      <c r="S56" s="3" t="s">
        <v>3</v>
      </c>
      <c r="T56" s="11" t="s">
        <v>21</v>
      </c>
      <c r="U56" s="11" t="s">
        <v>22</v>
      </c>
      <c r="V56" s="11" t="s">
        <v>23</v>
      </c>
      <c r="W56" s="3" t="s">
        <v>7</v>
      </c>
      <c r="X56" s="11" t="s">
        <v>21</v>
      </c>
      <c r="Y56" s="11" t="s">
        <v>22</v>
      </c>
      <c r="Z56" s="11" t="s">
        <v>23</v>
      </c>
      <c r="AA56" s="3" t="s">
        <v>6</v>
      </c>
      <c r="AB56" s="11" t="s">
        <v>21</v>
      </c>
      <c r="AC56" s="11" t="s">
        <v>22</v>
      </c>
      <c r="AD56" s="11" t="s">
        <v>23</v>
      </c>
    </row>
    <row r="57" spans="1:30" x14ac:dyDescent="0.25">
      <c r="A57" s="4">
        <v>42370</v>
      </c>
      <c r="B57" s="2">
        <v>15303.21</v>
      </c>
      <c r="C57" s="5">
        <f>B57*0.2830826</f>
        <v>4332.0724751460002</v>
      </c>
      <c r="D57" s="5">
        <f>B57*0.2210508</f>
        <v>3382.7868130679999</v>
      </c>
      <c r="E57" s="5">
        <f>B57*0.4958666</f>
        <v>7588.350711785999</v>
      </c>
      <c r="F57" s="19">
        <v>16652.580000000002</v>
      </c>
      <c r="G57" s="15">
        <f>F57*0.2830826</f>
        <v>4714.0556431080004</v>
      </c>
      <c r="H57" s="15">
        <f>F57*0.2210508</f>
        <v>3681.0661310640003</v>
      </c>
      <c r="I57" s="15">
        <f>F57*0.4958666</f>
        <v>8257.4582258280006</v>
      </c>
      <c r="J57" s="19">
        <v>15151.25</v>
      </c>
      <c r="K57" s="15">
        <f>J57*0.2830826</f>
        <v>4289.0552432499999</v>
      </c>
      <c r="L57" s="15">
        <f>J57*0.2210508</f>
        <v>3349.1959334999997</v>
      </c>
      <c r="M57" s="15">
        <f>J57*0.4958666</f>
        <v>7512.99882325</v>
      </c>
      <c r="N57" s="5"/>
      <c r="O57" s="2"/>
      <c r="P57" s="14">
        <f>O57*0.2830826</f>
        <v>0</v>
      </c>
      <c r="Q57" s="14">
        <f>O57*0.2210508</f>
        <v>0</v>
      </c>
      <c r="R57" s="14">
        <f>O57*0.4958666</f>
        <v>0</v>
      </c>
      <c r="S57" s="5">
        <f t="shared" ref="S57:S68" si="101">J57*2%</f>
        <v>303.02500000000003</v>
      </c>
      <c r="T57" s="10">
        <f>S57*0.2830826</f>
        <v>85.781104865000017</v>
      </c>
      <c r="U57" s="10">
        <f>S57*0.2210508</f>
        <v>66.983918670000008</v>
      </c>
      <c r="V57" s="10">
        <f>S57*0.4958666</f>
        <v>150.25997646500002</v>
      </c>
      <c r="W57" s="5">
        <f>O57+S57</f>
        <v>303.02500000000003</v>
      </c>
      <c r="X57" s="10">
        <f>W57*0.2830826</f>
        <v>85.781104865000017</v>
      </c>
      <c r="Y57" s="10">
        <f>W57*0.2210508</f>
        <v>66.983918670000008</v>
      </c>
      <c r="Z57" s="10">
        <f>W57*0.4958666</f>
        <v>150.25997646500002</v>
      </c>
      <c r="AA57" s="6">
        <f t="shared" ref="AA57:AA69" si="102">J57-W57+B57</f>
        <v>30151.434999999998</v>
      </c>
      <c r="AB57" s="14">
        <f>AA57*0.2830826</f>
        <v>8535.3466135309991</v>
      </c>
      <c r="AC57" s="14">
        <f>AA57*0.2210508</f>
        <v>6664.998827897999</v>
      </c>
      <c r="AD57" s="14">
        <f>AA57*0.4958666</f>
        <v>14951.089558570999</v>
      </c>
    </row>
    <row r="58" spans="1:30" x14ac:dyDescent="0.25">
      <c r="A58" s="4">
        <v>42401</v>
      </c>
      <c r="B58" s="2">
        <v>18594.57</v>
      </c>
      <c r="C58" s="5">
        <f t="shared" ref="C58:C68" si="103">B58*0.2830826</f>
        <v>5263.7992214820006</v>
      </c>
      <c r="D58" s="5">
        <f t="shared" ref="D58:D68" si="104">B58*0.2210508</f>
        <v>4110.3445741559999</v>
      </c>
      <c r="E58" s="5">
        <f t="shared" ref="E58:E68" si="105">B58*0.4958666</f>
        <v>9220.4262043620001</v>
      </c>
      <c r="F58" s="19">
        <v>16652.580000000002</v>
      </c>
      <c r="G58" s="15">
        <f t="shared" ref="G58:G69" si="106">F58*0.2830826</f>
        <v>4714.0556431080004</v>
      </c>
      <c r="H58" s="15">
        <f t="shared" ref="H58:H69" si="107">F58*0.2210508</f>
        <v>3681.0661310640003</v>
      </c>
      <c r="I58" s="15">
        <f t="shared" ref="I58:I69" si="108">F58*0.4958666</f>
        <v>8257.4582258280006</v>
      </c>
      <c r="J58" s="19">
        <v>15151.25</v>
      </c>
      <c r="K58" s="15">
        <f t="shared" ref="K58:K69" si="109">J58*0.2830826</f>
        <v>4289.0552432499999</v>
      </c>
      <c r="L58" s="15">
        <f t="shared" ref="L58:L69" si="110">J58*0.2210508</f>
        <v>3349.1959334999997</v>
      </c>
      <c r="M58" s="15">
        <f t="shared" ref="M58:M69" si="111">J58*0.4958666</f>
        <v>7512.99882325</v>
      </c>
      <c r="N58" s="5"/>
      <c r="O58" s="2"/>
      <c r="P58" s="10">
        <f t="shared" ref="P58:P69" si="112">O58*0.2830826</f>
        <v>0</v>
      </c>
      <c r="Q58" s="10">
        <f t="shared" ref="Q58:Q69" si="113">O58*0.2210508</f>
        <v>0</v>
      </c>
      <c r="R58" s="10">
        <f t="shared" ref="R58:R69" si="114">O58*0.4958666</f>
        <v>0</v>
      </c>
      <c r="S58" s="5">
        <f t="shared" si="101"/>
        <v>303.02500000000003</v>
      </c>
      <c r="T58" s="10">
        <f t="shared" ref="T58:T69" si="115">S58*0.2830826</f>
        <v>85.781104865000017</v>
      </c>
      <c r="U58" s="10">
        <f t="shared" ref="U58:U69" si="116">S58*0.2210508</f>
        <v>66.983918670000008</v>
      </c>
      <c r="V58" s="10">
        <f t="shared" ref="V58:V69" si="117">S58*0.4958666</f>
        <v>150.25997646500002</v>
      </c>
      <c r="W58" s="5">
        <f t="shared" ref="W58:W69" si="118">O58+S58</f>
        <v>303.02500000000003</v>
      </c>
      <c r="X58" s="10">
        <f t="shared" ref="X58:X69" si="119">W58*0.2830826</f>
        <v>85.781104865000017</v>
      </c>
      <c r="Y58" s="10">
        <f t="shared" ref="Y58:Y69" si="120">W58*0.2210508</f>
        <v>66.983918670000008</v>
      </c>
      <c r="Z58" s="10">
        <f t="shared" ref="Z58:Z69" si="121">W58*0.4958666</f>
        <v>150.25997646500002</v>
      </c>
      <c r="AA58" s="6">
        <f t="shared" si="102"/>
        <v>33442.794999999998</v>
      </c>
      <c r="AB58" s="14">
        <f t="shared" ref="AB58:AB69" si="122">AA58*0.2830826</f>
        <v>9467.0733598669995</v>
      </c>
      <c r="AC58" s="14">
        <f t="shared" ref="AC58:AC69" si="123">AA58*0.2210508</f>
        <v>7392.556588985999</v>
      </c>
      <c r="AD58" s="14">
        <f t="shared" ref="AD58:AD69" si="124">AA58*0.4958666</f>
        <v>16583.165051147</v>
      </c>
    </row>
    <row r="59" spans="1:30" x14ac:dyDescent="0.25">
      <c r="A59" s="4">
        <v>42430</v>
      </c>
      <c r="B59" s="2">
        <v>25313.79</v>
      </c>
      <c r="C59" s="5">
        <f t="shared" si="103"/>
        <v>7165.8934890540004</v>
      </c>
      <c r="D59" s="5">
        <f t="shared" si="104"/>
        <v>5595.6335305319999</v>
      </c>
      <c r="E59" s="5">
        <f t="shared" si="105"/>
        <v>12552.262980414</v>
      </c>
      <c r="F59" s="19">
        <v>16652.580000000002</v>
      </c>
      <c r="G59" s="15">
        <f t="shared" si="106"/>
        <v>4714.0556431080004</v>
      </c>
      <c r="H59" s="15">
        <f t="shared" si="107"/>
        <v>3681.0661310640003</v>
      </c>
      <c r="I59" s="15">
        <f t="shared" si="108"/>
        <v>8257.4582258280006</v>
      </c>
      <c r="J59" s="19">
        <v>15151.25</v>
      </c>
      <c r="K59" s="15">
        <f t="shared" si="109"/>
        <v>4289.0552432499999</v>
      </c>
      <c r="L59" s="15">
        <f t="shared" si="110"/>
        <v>3349.1959334999997</v>
      </c>
      <c r="M59" s="15">
        <f t="shared" si="111"/>
        <v>7512.99882325</v>
      </c>
      <c r="N59" s="5"/>
      <c r="O59" s="2"/>
      <c r="P59" s="10">
        <f t="shared" si="112"/>
        <v>0</v>
      </c>
      <c r="Q59" s="10">
        <f t="shared" si="113"/>
        <v>0</v>
      </c>
      <c r="R59" s="10">
        <f t="shared" si="114"/>
        <v>0</v>
      </c>
      <c r="S59" s="5">
        <f t="shared" si="101"/>
        <v>303.02500000000003</v>
      </c>
      <c r="T59" s="10">
        <f t="shared" si="115"/>
        <v>85.781104865000017</v>
      </c>
      <c r="U59" s="10">
        <f t="shared" si="116"/>
        <v>66.983918670000008</v>
      </c>
      <c r="V59" s="10">
        <f t="shared" si="117"/>
        <v>150.25997646500002</v>
      </c>
      <c r="W59" s="5">
        <f t="shared" si="118"/>
        <v>303.02500000000003</v>
      </c>
      <c r="X59" s="10">
        <f t="shared" si="119"/>
        <v>85.781104865000017</v>
      </c>
      <c r="Y59" s="10">
        <f t="shared" si="120"/>
        <v>66.983918670000008</v>
      </c>
      <c r="Z59" s="10">
        <f t="shared" si="121"/>
        <v>150.25997646500002</v>
      </c>
      <c r="AA59" s="6">
        <f t="shared" si="102"/>
        <v>40162.014999999999</v>
      </c>
      <c r="AB59" s="14">
        <f t="shared" si="122"/>
        <v>11369.167627439001</v>
      </c>
      <c r="AC59" s="14">
        <f t="shared" si="123"/>
        <v>8877.845545361999</v>
      </c>
      <c r="AD59" s="14">
        <f t="shared" si="124"/>
        <v>19915.001827199001</v>
      </c>
    </row>
    <row r="60" spans="1:30" x14ac:dyDescent="0.25">
      <c r="A60" s="4">
        <v>42461</v>
      </c>
      <c r="B60" s="2">
        <v>27857.74</v>
      </c>
      <c r="C60" s="5">
        <f t="shared" si="103"/>
        <v>7886.0414693240009</v>
      </c>
      <c r="D60" s="5">
        <f t="shared" si="104"/>
        <v>6157.9757131920005</v>
      </c>
      <c r="E60" s="5">
        <f t="shared" si="105"/>
        <v>13813.722817484</v>
      </c>
      <c r="F60" s="19">
        <v>16652.580000000002</v>
      </c>
      <c r="G60" s="15">
        <f t="shared" si="106"/>
        <v>4714.0556431080004</v>
      </c>
      <c r="H60" s="15">
        <f t="shared" si="107"/>
        <v>3681.0661310640003</v>
      </c>
      <c r="I60" s="15">
        <f t="shared" si="108"/>
        <v>8257.4582258280006</v>
      </c>
      <c r="J60" s="19">
        <v>15151.25</v>
      </c>
      <c r="K60" s="15">
        <f t="shared" si="109"/>
        <v>4289.0552432499999</v>
      </c>
      <c r="L60" s="15">
        <f t="shared" si="110"/>
        <v>3349.1959334999997</v>
      </c>
      <c r="M60" s="15">
        <f t="shared" si="111"/>
        <v>7512.99882325</v>
      </c>
      <c r="N60" s="5"/>
      <c r="O60" s="2"/>
      <c r="P60" s="10">
        <f t="shared" si="112"/>
        <v>0</v>
      </c>
      <c r="Q60" s="10">
        <f t="shared" si="113"/>
        <v>0</v>
      </c>
      <c r="R60" s="10">
        <f t="shared" si="114"/>
        <v>0</v>
      </c>
      <c r="S60" s="5">
        <f t="shared" si="101"/>
        <v>303.02500000000003</v>
      </c>
      <c r="T60" s="10">
        <f t="shared" si="115"/>
        <v>85.781104865000017</v>
      </c>
      <c r="U60" s="10">
        <f t="shared" si="116"/>
        <v>66.983918670000008</v>
      </c>
      <c r="V60" s="10">
        <f t="shared" si="117"/>
        <v>150.25997646500002</v>
      </c>
      <c r="W60" s="5">
        <f t="shared" si="118"/>
        <v>303.02500000000003</v>
      </c>
      <c r="X60" s="10">
        <f t="shared" si="119"/>
        <v>85.781104865000017</v>
      </c>
      <c r="Y60" s="10">
        <f t="shared" si="120"/>
        <v>66.983918670000008</v>
      </c>
      <c r="Z60" s="10">
        <f t="shared" si="121"/>
        <v>150.25997646500002</v>
      </c>
      <c r="AA60" s="6">
        <f t="shared" si="102"/>
        <v>42705.965000000004</v>
      </c>
      <c r="AB60" s="14">
        <f t="shared" si="122"/>
        <v>12089.315607709003</v>
      </c>
      <c r="AC60" s="14">
        <f t="shared" si="123"/>
        <v>9440.1877280219996</v>
      </c>
      <c r="AD60" s="14">
        <f t="shared" si="124"/>
        <v>21176.461664269002</v>
      </c>
    </row>
    <row r="61" spans="1:30" x14ac:dyDescent="0.25">
      <c r="A61" s="4">
        <v>42491</v>
      </c>
      <c r="B61" s="2">
        <v>22275.07</v>
      </c>
      <c r="C61" s="5">
        <f t="shared" si="103"/>
        <v>6305.6847307819999</v>
      </c>
      <c r="D61" s="5">
        <f t="shared" si="104"/>
        <v>4923.9220435560001</v>
      </c>
      <c r="E61" s="5">
        <f t="shared" si="105"/>
        <v>11045.463225661999</v>
      </c>
      <c r="F61" s="19">
        <v>16652.580000000002</v>
      </c>
      <c r="G61" s="15">
        <f t="shared" si="106"/>
        <v>4714.0556431080004</v>
      </c>
      <c r="H61" s="15">
        <f t="shared" si="107"/>
        <v>3681.0661310640003</v>
      </c>
      <c r="I61" s="15">
        <f t="shared" si="108"/>
        <v>8257.4582258280006</v>
      </c>
      <c r="J61" s="19">
        <v>15151.25</v>
      </c>
      <c r="K61" s="15">
        <f t="shared" si="109"/>
        <v>4289.0552432499999</v>
      </c>
      <c r="L61" s="15">
        <f t="shared" si="110"/>
        <v>3349.1959334999997</v>
      </c>
      <c r="M61" s="15">
        <f t="shared" si="111"/>
        <v>7512.99882325</v>
      </c>
      <c r="N61" s="5"/>
      <c r="O61" s="2"/>
      <c r="P61" s="10">
        <f t="shared" si="112"/>
        <v>0</v>
      </c>
      <c r="Q61" s="10">
        <f t="shared" si="113"/>
        <v>0</v>
      </c>
      <c r="R61" s="10">
        <f t="shared" si="114"/>
        <v>0</v>
      </c>
      <c r="S61" s="5">
        <f t="shared" si="101"/>
        <v>303.02500000000003</v>
      </c>
      <c r="T61" s="10">
        <f t="shared" si="115"/>
        <v>85.781104865000017</v>
      </c>
      <c r="U61" s="10">
        <f t="shared" si="116"/>
        <v>66.983918670000008</v>
      </c>
      <c r="V61" s="10">
        <f t="shared" si="117"/>
        <v>150.25997646500002</v>
      </c>
      <c r="W61" s="5">
        <f t="shared" si="118"/>
        <v>303.02500000000003</v>
      </c>
      <c r="X61" s="10">
        <f t="shared" si="119"/>
        <v>85.781104865000017</v>
      </c>
      <c r="Y61" s="10">
        <f t="shared" si="120"/>
        <v>66.983918670000008</v>
      </c>
      <c r="Z61" s="10">
        <f t="shared" si="121"/>
        <v>150.25997646500002</v>
      </c>
      <c r="AA61" s="6">
        <f t="shared" si="102"/>
        <v>37123.294999999998</v>
      </c>
      <c r="AB61" s="14">
        <f t="shared" si="122"/>
        <v>10508.958869167</v>
      </c>
      <c r="AC61" s="14">
        <f t="shared" si="123"/>
        <v>8206.1340583860001</v>
      </c>
      <c r="AD61" s="14">
        <f t="shared" si="124"/>
        <v>18408.202072446998</v>
      </c>
    </row>
    <row r="62" spans="1:30" x14ac:dyDescent="0.25">
      <c r="A62" s="4">
        <v>42522</v>
      </c>
      <c r="B62" s="2">
        <v>19858.849999999999</v>
      </c>
      <c r="C62" s="5">
        <f t="shared" si="103"/>
        <v>5621.69489101</v>
      </c>
      <c r="D62" s="5">
        <f t="shared" si="104"/>
        <v>4389.8146795799994</v>
      </c>
      <c r="E62" s="5">
        <f t="shared" si="105"/>
        <v>9847.3404294099983</v>
      </c>
      <c r="F62" s="19">
        <v>16652.580000000002</v>
      </c>
      <c r="G62" s="15">
        <f t="shared" si="106"/>
        <v>4714.0556431080004</v>
      </c>
      <c r="H62" s="15">
        <f t="shared" si="107"/>
        <v>3681.0661310640003</v>
      </c>
      <c r="I62" s="15">
        <f t="shared" si="108"/>
        <v>8257.4582258280006</v>
      </c>
      <c r="J62" s="19">
        <v>15151.25</v>
      </c>
      <c r="K62" s="15">
        <f t="shared" si="109"/>
        <v>4289.0552432499999</v>
      </c>
      <c r="L62" s="15">
        <f t="shared" si="110"/>
        <v>3349.1959334999997</v>
      </c>
      <c r="M62" s="15">
        <f t="shared" si="111"/>
        <v>7512.99882325</v>
      </c>
      <c r="N62" s="5"/>
      <c r="O62" s="2"/>
      <c r="P62" s="10">
        <f t="shared" si="112"/>
        <v>0</v>
      </c>
      <c r="Q62" s="10">
        <f t="shared" si="113"/>
        <v>0</v>
      </c>
      <c r="R62" s="10">
        <f t="shared" si="114"/>
        <v>0</v>
      </c>
      <c r="S62" s="5">
        <f t="shared" si="101"/>
        <v>303.02500000000003</v>
      </c>
      <c r="T62" s="10">
        <f t="shared" si="115"/>
        <v>85.781104865000017</v>
      </c>
      <c r="U62" s="10">
        <f t="shared" si="116"/>
        <v>66.983918670000008</v>
      </c>
      <c r="V62" s="10">
        <f t="shared" si="117"/>
        <v>150.25997646500002</v>
      </c>
      <c r="W62" s="5">
        <f t="shared" si="118"/>
        <v>303.02500000000003</v>
      </c>
      <c r="X62" s="10">
        <f t="shared" si="119"/>
        <v>85.781104865000017</v>
      </c>
      <c r="Y62" s="10">
        <f t="shared" si="120"/>
        <v>66.983918670000008</v>
      </c>
      <c r="Z62" s="10">
        <f t="shared" si="121"/>
        <v>150.25997646500002</v>
      </c>
      <c r="AA62" s="6">
        <f t="shared" si="102"/>
        <v>34707.074999999997</v>
      </c>
      <c r="AB62" s="14">
        <f t="shared" si="122"/>
        <v>9824.9690293950007</v>
      </c>
      <c r="AC62" s="14">
        <f t="shared" si="123"/>
        <v>7672.0266944099994</v>
      </c>
      <c r="AD62" s="14">
        <f t="shared" si="124"/>
        <v>17210.079276195</v>
      </c>
    </row>
    <row r="63" spans="1:30" x14ac:dyDescent="0.25">
      <c r="A63" s="4">
        <v>42552</v>
      </c>
      <c r="B63" s="2">
        <v>13748.7</v>
      </c>
      <c r="C63" s="5">
        <f t="shared" si="103"/>
        <v>3892.0177426200003</v>
      </c>
      <c r="D63" s="5">
        <f t="shared" si="104"/>
        <v>3039.1611339599999</v>
      </c>
      <c r="E63" s="5">
        <f t="shared" si="105"/>
        <v>6817.5211234200005</v>
      </c>
      <c r="F63" s="19">
        <v>16652.580000000002</v>
      </c>
      <c r="G63" s="15">
        <f t="shared" si="106"/>
        <v>4714.0556431080004</v>
      </c>
      <c r="H63" s="15">
        <f t="shared" si="107"/>
        <v>3681.0661310640003</v>
      </c>
      <c r="I63" s="15">
        <f t="shared" si="108"/>
        <v>8257.4582258280006</v>
      </c>
      <c r="J63" s="19">
        <v>15151.25</v>
      </c>
      <c r="K63" s="15">
        <f t="shared" si="109"/>
        <v>4289.0552432499999</v>
      </c>
      <c r="L63" s="15">
        <f t="shared" si="110"/>
        <v>3349.1959334999997</v>
      </c>
      <c r="M63" s="15">
        <f t="shared" si="111"/>
        <v>7512.99882325</v>
      </c>
      <c r="N63" s="5"/>
      <c r="O63" s="2"/>
      <c r="P63" s="10">
        <f t="shared" si="112"/>
        <v>0</v>
      </c>
      <c r="Q63" s="10">
        <f t="shared" si="113"/>
        <v>0</v>
      </c>
      <c r="R63" s="10">
        <f t="shared" si="114"/>
        <v>0</v>
      </c>
      <c r="S63" s="5">
        <f t="shared" si="101"/>
        <v>303.02500000000003</v>
      </c>
      <c r="T63" s="10">
        <f t="shared" si="115"/>
        <v>85.781104865000017</v>
      </c>
      <c r="U63" s="10">
        <f t="shared" si="116"/>
        <v>66.983918670000008</v>
      </c>
      <c r="V63" s="10">
        <f t="shared" si="117"/>
        <v>150.25997646500002</v>
      </c>
      <c r="W63" s="5">
        <f t="shared" si="118"/>
        <v>303.02500000000003</v>
      </c>
      <c r="X63" s="10">
        <f t="shared" si="119"/>
        <v>85.781104865000017</v>
      </c>
      <c r="Y63" s="10">
        <f t="shared" si="120"/>
        <v>66.983918670000008</v>
      </c>
      <c r="Z63" s="10">
        <f t="shared" si="121"/>
        <v>150.25997646500002</v>
      </c>
      <c r="AA63" s="6">
        <f t="shared" si="102"/>
        <v>28596.925000000003</v>
      </c>
      <c r="AB63" s="14">
        <f t="shared" si="122"/>
        <v>8095.2918810050014</v>
      </c>
      <c r="AC63" s="14">
        <f t="shared" si="123"/>
        <v>6321.3731487900004</v>
      </c>
      <c r="AD63" s="14">
        <f t="shared" si="124"/>
        <v>14180.259970205001</v>
      </c>
    </row>
    <row r="64" spans="1:30" x14ac:dyDescent="0.25">
      <c r="A64" s="4">
        <v>42583</v>
      </c>
      <c r="B64" s="2">
        <v>24533.74</v>
      </c>
      <c r="C64" s="5">
        <f t="shared" si="103"/>
        <v>6945.074906924001</v>
      </c>
      <c r="D64" s="5">
        <f t="shared" si="104"/>
        <v>5423.2028539920002</v>
      </c>
      <c r="E64" s="5">
        <f t="shared" si="105"/>
        <v>12165.462239084001</v>
      </c>
      <c r="F64" s="19">
        <v>16652.580000000002</v>
      </c>
      <c r="G64" s="15">
        <f t="shared" si="106"/>
        <v>4714.0556431080004</v>
      </c>
      <c r="H64" s="15">
        <f t="shared" si="107"/>
        <v>3681.0661310640003</v>
      </c>
      <c r="I64" s="15">
        <f t="shared" si="108"/>
        <v>8257.4582258280006</v>
      </c>
      <c r="J64" s="19">
        <v>15151.25</v>
      </c>
      <c r="K64" s="15">
        <f t="shared" si="109"/>
        <v>4289.0552432499999</v>
      </c>
      <c r="L64" s="15">
        <f t="shared" si="110"/>
        <v>3349.1959334999997</v>
      </c>
      <c r="M64" s="15">
        <f t="shared" si="111"/>
        <v>7512.99882325</v>
      </c>
      <c r="N64" s="5"/>
      <c r="O64" s="2"/>
      <c r="P64" s="10">
        <f t="shared" si="112"/>
        <v>0</v>
      </c>
      <c r="Q64" s="10">
        <f t="shared" si="113"/>
        <v>0</v>
      </c>
      <c r="R64" s="10">
        <f t="shared" si="114"/>
        <v>0</v>
      </c>
      <c r="S64" s="5">
        <f t="shared" si="101"/>
        <v>303.02500000000003</v>
      </c>
      <c r="T64" s="10">
        <f t="shared" si="115"/>
        <v>85.781104865000017</v>
      </c>
      <c r="U64" s="10">
        <f t="shared" si="116"/>
        <v>66.983918670000008</v>
      </c>
      <c r="V64" s="10">
        <f t="shared" si="117"/>
        <v>150.25997646500002</v>
      </c>
      <c r="W64" s="5">
        <f t="shared" si="118"/>
        <v>303.02500000000003</v>
      </c>
      <c r="X64" s="10">
        <f t="shared" si="119"/>
        <v>85.781104865000017</v>
      </c>
      <c r="Y64" s="10">
        <f t="shared" si="120"/>
        <v>66.983918670000008</v>
      </c>
      <c r="Z64" s="10">
        <f t="shared" si="121"/>
        <v>150.25997646500002</v>
      </c>
      <c r="AA64" s="6">
        <f t="shared" si="102"/>
        <v>39381.965000000004</v>
      </c>
      <c r="AB64" s="14">
        <f t="shared" si="122"/>
        <v>11148.349045309002</v>
      </c>
      <c r="AC64" s="14">
        <f t="shared" si="123"/>
        <v>8705.4148688220012</v>
      </c>
      <c r="AD64" s="14">
        <f t="shared" si="124"/>
        <v>19528.201085869001</v>
      </c>
    </row>
    <row r="65" spans="1:45" x14ac:dyDescent="0.25">
      <c r="A65" s="4">
        <v>42614</v>
      </c>
      <c r="B65" s="2">
        <v>11785.89</v>
      </c>
      <c r="C65" s="5">
        <f t="shared" si="103"/>
        <v>3336.3803845140001</v>
      </c>
      <c r="D65" s="5">
        <f t="shared" si="104"/>
        <v>2605.280413212</v>
      </c>
      <c r="E65" s="5">
        <f t="shared" si="105"/>
        <v>5844.2292022739994</v>
      </c>
      <c r="F65" s="19">
        <v>16652.580000000002</v>
      </c>
      <c r="G65" s="15">
        <f t="shared" si="106"/>
        <v>4714.0556431080004</v>
      </c>
      <c r="H65" s="15">
        <f t="shared" si="107"/>
        <v>3681.0661310640003</v>
      </c>
      <c r="I65" s="15">
        <f t="shared" si="108"/>
        <v>8257.4582258280006</v>
      </c>
      <c r="J65" s="19">
        <v>15151.25</v>
      </c>
      <c r="K65" s="15">
        <f t="shared" si="109"/>
        <v>4289.0552432499999</v>
      </c>
      <c r="L65" s="15">
        <f t="shared" si="110"/>
        <v>3349.1959334999997</v>
      </c>
      <c r="M65" s="15">
        <f t="shared" si="111"/>
        <v>7512.99882325</v>
      </c>
      <c r="N65" s="5"/>
      <c r="O65" s="2"/>
      <c r="P65" s="10">
        <f t="shared" si="112"/>
        <v>0</v>
      </c>
      <c r="Q65" s="10">
        <f t="shared" si="113"/>
        <v>0</v>
      </c>
      <c r="R65" s="10">
        <f t="shared" si="114"/>
        <v>0</v>
      </c>
      <c r="S65" s="5">
        <f t="shared" si="101"/>
        <v>303.02500000000003</v>
      </c>
      <c r="T65" s="10">
        <f t="shared" si="115"/>
        <v>85.781104865000017</v>
      </c>
      <c r="U65" s="10">
        <f t="shared" si="116"/>
        <v>66.983918670000008</v>
      </c>
      <c r="V65" s="10">
        <f t="shared" si="117"/>
        <v>150.25997646500002</v>
      </c>
      <c r="W65" s="5">
        <f t="shared" si="118"/>
        <v>303.02500000000003</v>
      </c>
      <c r="X65" s="10">
        <f t="shared" si="119"/>
        <v>85.781104865000017</v>
      </c>
      <c r="Y65" s="10">
        <f t="shared" si="120"/>
        <v>66.983918670000008</v>
      </c>
      <c r="Z65" s="10">
        <f t="shared" si="121"/>
        <v>150.25997646500002</v>
      </c>
      <c r="AA65" s="6">
        <f t="shared" si="102"/>
        <v>26634.114999999998</v>
      </c>
      <c r="AB65" s="14">
        <f t="shared" si="122"/>
        <v>7539.6545228989999</v>
      </c>
      <c r="AC65" s="14">
        <f t="shared" si="123"/>
        <v>5887.4924280419991</v>
      </c>
      <c r="AD65" s="14">
        <f t="shared" si="124"/>
        <v>13206.968049058998</v>
      </c>
    </row>
    <row r="66" spans="1:45" x14ac:dyDescent="0.25">
      <c r="A66" s="4">
        <v>42644</v>
      </c>
      <c r="B66" s="2">
        <v>22596.39</v>
      </c>
      <c r="C66" s="5">
        <f t="shared" si="103"/>
        <v>6396.6448318140001</v>
      </c>
      <c r="D66" s="5">
        <f t="shared" si="104"/>
        <v>4994.9500866119997</v>
      </c>
      <c r="E66" s="5">
        <f t="shared" si="105"/>
        <v>11204.795081573999</v>
      </c>
      <c r="F66" s="19">
        <v>16652.580000000002</v>
      </c>
      <c r="G66" s="15">
        <f t="shared" si="106"/>
        <v>4714.0556431080004</v>
      </c>
      <c r="H66" s="15">
        <f t="shared" si="107"/>
        <v>3681.0661310640003</v>
      </c>
      <c r="I66" s="15">
        <f t="shared" si="108"/>
        <v>8257.4582258280006</v>
      </c>
      <c r="J66" s="19">
        <v>15151.25</v>
      </c>
      <c r="K66" s="15">
        <f t="shared" si="109"/>
        <v>4289.0552432499999</v>
      </c>
      <c r="L66" s="15">
        <f t="shared" si="110"/>
        <v>3349.1959334999997</v>
      </c>
      <c r="M66" s="15">
        <f t="shared" si="111"/>
        <v>7512.99882325</v>
      </c>
      <c r="N66" s="5"/>
      <c r="O66" s="2">
        <v>60650</v>
      </c>
      <c r="P66" s="10">
        <f t="shared" si="112"/>
        <v>17168.95969</v>
      </c>
      <c r="Q66" s="10">
        <f t="shared" si="113"/>
        <v>13406.731019999999</v>
      </c>
      <c r="R66" s="10">
        <f t="shared" si="114"/>
        <v>30074.309290000001</v>
      </c>
      <c r="S66" s="5">
        <f t="shared" si="101"/>
        <v>303.02500000000003</v>
      </c>
      <c r="T66" s="10">
        <f t="shared" si="115"/>
        <v>85.781104865000017</v>
      </c>
      <c r="U66" s="10">
        <f t="shared" si="116"/>
        <v>66.983918670000008</v>
      </c>
      <c r="V66" s="10">
        <f t="shared" si="117"/>
        <v>150.25997646500002</v>
      </c>
      <c r="W66" s="5">
        <f t="shared" si="118"/>
        <v>60953.025000000001</v>
      </c>
      <c r="X66" s="10">
        <f t="shared" si="119"/>
        <v>17254.740794865</v>
      </c>
      <c r="Y66" s="10">
        <f t="shared" si="120"/>
        <v>13473.71493867</v>
      </c>
      <c r="Z66" s="10">
        <f t="shared" si="121"/>
        <v>30224.569266465001</v>
      </c>
      <c r="AA66" s="6">
        <f t="shared" si="102"/>
        <v>-23205.385000000002</v>
      </c>
      <c r="AB66" s="14">
        <f t="shared" si="122"/>
        <v>-6569.0407198010007</v>
      </c>
      <c r="AC66" s="14">
        <f t="shared" si="123"/>
        <v>-5129.5689185580004</v>
      </c>
      <c r="AD66" s="14">
        <f t="shared" si="124"/>
        <v>-11506.775361641001</v>
      </c>
    </row>
    <row r="67" spans="1:45" x14ac:dyDescent="0.25">
      <c r="A67" s="4">
        <v>42675</v>
      </c>
      <c r="B67" s="2">
        <v>-10534.38</v>
      </c>
      <c r="C67" s="5">
        <f t="shared" si="103"/>
        <v>-2982.0996797879998</v>
      </c>
      <c r="D67" s="5">
        <f t="shared" si="104"/>
        <v>-2328.6331265039998</v>
      </c>
      <c r="E67" s="5">
        <f t="shared" si="105"/>
        <v>-5223.6471937079996</v>
      </c>
      <c r="F67" s="19">
        <v>16652.580000000002</v>
      </c>
      <c r="G67" s="15">
        <f t="shared" si="106"/>
        <v>4714.0556431080004</v>
      </c>
      <c r="H67" s="15">
        <f t="shared" si="107"/>
        <v>3681.0661310640003</v>
      </c>
      <c r="I67" s="15">
        <f t="shared" si="108"/>
        <v>8257.4582258280006</v>
      </c>
      <c r="J67" s="19">
        <v>15151.25</v>
      </c>
      <c r="K67" s="15">
        <f t="shared" si="109"/>
        <v>4289.0552432499999</v>
      </c>
      <c r="L67" s="15">
        <f t="shared" si="110"/>
        <v>3349.1959334999997</v>
      </c>
      <c r="M67" s="15">
        <f t="shared" si="111"/>
        <v>7512.99882325</v>
      </c>
      <c r="N67" s="5"/>
      <c r="O67" s="2">
        <v>11811</v>
      </c>
      <c r="P67" s="10">
        <f t="shared" si="112"/>
        <v>3343.4885886000002</v>
      </c>
      <c r="Q67" s="10">
        <f t="shared" si="113"/>
        <v>2610.8309988000001</v>
      </c>
      <c r="R67" s="10">
        <f t="shared" si="114"/>
        <v>5856.6804125999997</v>
      </c>
      <c r="S67" s="5">
        <f t="shared" si="101"/>
        <v>303.02500000000003</v>
      </c>
      <c r="T67" s="10">
        <f t="shared" si="115"/>
        <v>85.781104865000017</v>
      </c>
      <c r="U67" s="10">
        <f t="shared" si="116"/>
        <v>66.983918670000008</v>
      </c>
      <c r="V67" s="10">
        <f t="shared" si="117"/>
        <v>150.25997646500002</v>
      </c>
      <c r="W67" s="5">
        <f t="shared" si="118"/>
        <v>12114.025</v>
      </c>
      <c r="X67" s="10">
        <f t="shared" si="119"/>
        <v>3429.2696934650003</v>
      </c>
      <c r="Y67" s="10">
        <f t="shared" si="120"/>
        <v>2677.8149174699997</v>
      </c>
      <c r="Z67" s="10">
        <f t="shared" si="121"/>
        <v>6006.9403890650001</v>
      </c>
      <c r="AA67" s="6">
        <f t="shared" si="102"/>
        <v>-7497.1549999999988</v>
      </c>
      <c r="AB67" s="14">
        <f t="shared" si="122"/>
        <v>-2122.3141300029997</v>
      </c>
      <c r="AC67" s="14">
        <f t="shared" si="123"/>
        <v>-1657.2521104739997</v>
      </c>
      <c r="AD67" s="14">
        <f t="shared" si="124"/>
        <v>-3717.5887595229992</v>
      </c>
    </row>
    <row r="68" spans="1:45" x14ac:dyDescent="0.25">
      <c r="A68" s="4">
        <v>42705</v>
      </c>
      <c r="B68" s="2">
        <v>30314.86</v>
      </c>
      <c r="C68" s="5">
        <f t="shared" si="103"/>
        <v>8581.6093874360013</v>
      </c>
      <c r="D68" s="5">
        <f t="shared" si="104"/>
        <v>6701.1240548879996</v>
      </c>
      <c r="E68" s="5">
        <f t="shared" si="105"/>
        <v>15032.126557676</v>
      </c>
      <c r="F68" s="19">
        <v>16652.580000000002</v>
      </c>
      <c r="G68" s="15">
        <f t="shared" si="106"/>
        <v>4714.0556431080004</v>
      </c>
      <c r="H68" s="15">
        <f t="shared" si="107"/>
        <v>3681.0661310640003</v>
      </c>
      <c r="I68" s="15">
        <f t="shared" si="108"/>
        <v>8257.4582258280006</v>
      </c>
      <c r="J68" s="19">
        <v>15151.25</v>
      </c>
      <c r="K68" s="15">
        <f t="shared" si="109"/>
        <v>4289.0552432499999</v>
      </c>
      <c r="L68" s="15">
        <f t="shared" si="110"/>
        <v>3349.1959334999997</v>
      </c>
      <c r="M68" s="15">
        <f t="shared" si="111"/>
        <v>7512.99882325</v>
      </c>
      <c r="N68" s="5"/>
      <c r="O68" s="2">
        <v>3000</v>
      </c>
      <c r="P68" s="10">
        <f t="shared" si="112"/>
        <v>849.2478000000001</v>
      </c>
      <c r="Q68" s="10">
        <f t="shared" si="113"/>
        <v>663.15239999999994</v>
      </c>
      <c r="R68" s="10">
        <f t="shared" si="114"/>
        <v>1487.5998</v>
      </c>
      <c r="S68" s="5">
        <f t="shared" si="101"/>
        <v>303.02500000000003</v>
      </c>
      <c r="T68" s="10">
        <f t="shared" si="115"/>
        <v>85.781104865000017</v>
      </c>
      <c r="U68" s="10">
        <f t="shared" si="116"/>
        <v>66.983918670000008</v>
      </c>
      <c r="V68" s="10">
        <f t="shared" si="117"/>
        <v>150.25997646500002</v>
      </c>
      <c r="W68" s="5">
        <f t="shared" si="118"/>
        <v>3303.0250000000001</v>
      </c>
      <c r="X68" s="10">
        <f t="shared" si="119"/>
        <v>935.02890486500007</v>
      </c>
      <c r="Y68" s="10">
        <f t="shared" si="120"/>
        <v>730.13631867000004</v>
      </c>
      <c r="Z68" s="10">
        <f t="shared" si="121"/>
        <v>1637.8597764650001</v>
      </c>
      <c r="AA68" s="6">
        <f t="shared" si="102"/>
        <v>42163.084999999999</v>
      </c>
      <c r="AB68" s="14">
        <f t="shared" si="122"/>
        <v>11935.635725821001</v>
      </c>
      <c r="AC68" s="14">
        <f t="shared" si="123"/>
        <v>9320.1836697179988</v>
      </c>
      <c r="AD68" s="14">
        <f t="shared" si="124"/>
        <v>20907.265604460998</v>
      </c>
    </row>
    <row r="69" spans="1:45" x14ac:dyDescent="0.25">
      <c r="A69" s="4" t="s">
        <v>18</v>
      </c>
      <c r="B69" s="2">
        <f>SUM(B57:B68)</f>
        <v>221648.43</v>
      </c>
      <c r="C69" s="5">
        <f>B69*0.2830826</f>
        <v>62744.813850318002</v>
      </c>
      <c r="D69" s="5">
        <f>B69*0.2210508</f>
        <v>48995.562770243996</v>
      </c>
      <c r="E69" s="5">
        <f>B69*0.4958666</f>
        <v>109908.05337943799</v>
      </c>
      <c r="F69" s="6">
        <f>SUM(F57:F68)</f>
        <v>199830.96000000008</v>
      </c>
      <c r="G69" s="15">
        <f t="shared" si="106"/>
        <v>56568.667717296026</v>
      </c>
      <c r="H69" s="15">
        <f t="shared" si="107"/>
        <v>44172.793572768016</v>
      </c>
      <c r="I69" s="15">
        <f t="shared" si="108"/>
        <v>99089.498709936044</v>
      </c>
      <c r="J69" s="6">
        <f>SUM(J57:J68)</f>
        <v>181815</v>
      </c>
      <c r="K69" s="15">
        <f t="shared" si="109"/>
        <v>51468.662919000002</v>
      </c>
      <c r="L69" s="15">
        <f t="shared" si="110"/>
        <v>40190.351201999998</v>
      </c>
      <c r="M69" s="15">
        <f t="shared" si="111"/>
        <v>90155.985879</v>
      </c>
      <c r="N69" s="5">
        <f t="shared" ref="N69" si="125">J69/F69*100</f>
        <v>90.984400014892557</v>
      </c>
      <c r="O69" s="2">
        <f>SUM(O57:O68)</f>
        <v>75461</v>
      </c>
      <c r="P69" s="10">
        <f t="shared" si="112"/>
        <v>21361.696078600002</v>
      </c>
      <c r="Q69" s="10">
        <f t="shared" si="113"/>
        <v>16680.714418799998</v>
      </c>
      <c r="R69" s="10">
        <f t="shared" si="114"/>
        <v>37418.5895026</v>
      </c>
      <c r="S69" s="5">
        <f>SUM(S57:S68)</f>
        <v>3636.3000000000006</v>
      </c>
      <c r="T69" s="10">
        <f t="shared" si="115"/>
        <v>1029.3732583800002</v>
      </c>
      <c r="U69" s="10">
        <f t="shared" si="116"/>
        <v>803.8070240400001</v>
      </c>
      <c r="V69" s="10">
        <f t="shared" si="117"/>
        <v>1803.1197175800003</v>
      </c>
      <c r="W69" s="5">
        <f t="shared" si="118"/>
        <v>79097.3</v>
      </c>
      <c r="X69" s="10">
        <f t="shared" si="119"/>
        <v>22391.069336980003</v>
      </c>
      <c r="Y69" s="10">
        <f t="shared" si="120"/>
        <v>17484.52144284</v>
      </c>
      <c r="Z69" s="10">
        <f t="shared" si="121"/>
        <v>39221.709220180004</v>
      </c>
      <c r="AA69" s="6">
        <f t="shared" si="102"/>
        <v>324366.13</v>
      </c>
      <c r="AB69" s="14">
        <f t="shared" si="122"/>
        <v>91822.407432338005</v>
      </c>
      <c r="AC69" s="14">
        <f t="shared" si="123"/>
        <v>71701.392529403995</v>
      </c>
      <c r="AD69" s="14">
        <f t="shared" si="124"/>
        <v>160842.33003825799</v>
      </c>
    </row>
    <row r="71" spans="1:45" x14ac:dyDescent="0.25">
      <c r="J71" s="7"/>
      <c r="K71" s="7"/>
      <c r="L71" s="7"/>
      <c r="M71" s="7"/>
      <c r="AF71" s="22"/>
      <c r="AG71" s="25"/>
      <c r="AS71" s="7"/>
    </row>
  </sheetData>
  <mergeCells count="1">
    <mergeCell ref="AF71:AG71"/>
  </mergeCells>
  <pageMargins left="0.7" right="0.7" top="0.75" bottom="0.75" header="0.3" footer="0.3"/>
  <pageSetup paperSize="9" scale="64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2017-03-29T06:02:00Z</cp:lastPrinted>
  <dcterms:created xsi:type="dcterms:W3CDTF">2013-01-14T08:21:36Z</dcterms:created>
  <dcterms:modified xsi:type="dcterms:W3CDTF">2017-03-29T07:42:25Z</dcterms:modified>
</cp:coreProperties>
</file>