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Мои документы\сайт ук\файлы\бух_отчет2017\"/>
    </mc:Choice>
  </mc:AlternateContent>
  <bookViews>
    <workbookView xWindow="480" yWindow="135" windowWidth="18195" windowHeight="11760"/>
  </bookViews>
  <sheets>
    <sheet name="2016" sheetId="4" r:id="rId1"/>
    <sheet name="Лист1" sheetId="5" r:id="rId2"/>
  </sheets>
  <calcPr calcId="152511" refMode="R1C1"/>
</workbook>
</file>

<file path=xl/calcChain.xml><?xml version="1.0" encoding="utf-8"?>
<calcChain xmlns="http://schemas.openxmlformats.org/spreadsheetml/2006/main">
  <c r="S60" i="4" l="1"/>
  <c r="S61" i="4"/>
  <c r="S62" i="4"/>
  <c r="S63" i="4"/>
  <c r="S64" i="4"/>
  <c r="S65" i="4"/>
  <c r="S66" i="4"/>
  <c r="S67" i="4"/>
  <c r="S68" i="4"/>
  <c r="S69" i="4"/>
  <c r="S70" i="4"/>
  <c r="S59" i="4"/>
  <c r="Q71" i="4"/>
  <c r="Q60" i="4"/>
  <c r="Q61" i="4"/>
  <c r="Q62" i="4"/>
  <c r="Q63" i="4"/>
  <c r="Q64" i="4"/>
  <c r="Q65" i="4"/>
  <c r="Q66" i="4"/>
  <c r="Q67" i="4"/>
  <c r="Q68" i="4"/>
  <c r="Q69" i="4"/>
  <c r="Q70" i="4"/>
  <c r="Q59" i="4"/>
  <c r="J61" i="4"/>
  <c r="J62" i="4"/>
  <c r="J63" i="4"/>
  <c r="J64" i="4"/>
  <c r="J65" i="4"/>
  <c r="J66" i="4"/>
  <c r="J67" i="4"/>
  <c r="J68" i="4"/>
  <c r="J69" i="4"/>
  <c r="J70" i="4"/>
  <c r="J60" i="4"/>
  <c r="G60" i="4"/>
  <c r="L60" i="4" s="1"/>
  <c r="G61" i="4"/>
  <c r="L61" i="4" s="1"/>
  <c r="G62" i="4"/>
  <c r="L62" i="4" s="1"/>
  <c r="G63" i="4"/>
  <c r="L63" i="4" s="1"/>
  <c r="G64" i="4"/>
  <c r="K64" i="4" s="1"/>
  <c r="M64" i="4" s="1"/>
  <c r="G65" i="4"/>
  <c r="L65" i="4" s="1"/>
  <c r="G66" i="4"/>
  <c r="L66" i="4" s="1"/>
  <c r="G67" i="4"/>
  <c r="L67" i="4" s="1"/>
  <c r="G68" i="4"/>
  <c r="L68" i="4" s="1"/>
  <c r="G69" i="4"/>
  <c r="L69" i="4" s="1"/>
  <c r="G70" i="4"/>
  <c r="L70" i="4" s="1"/>
  <c r="G59" i="4"/>
  <c r="K59" i="4" s="1"/>
  <c r="M59" i="4" s="1"/>
  <c r="E60" i="4"/>
  <c r="E61" i="4"/>
  <c r="E62" i="4"/>
  <c r="E63" i="4"/>
  <c r="E64" i="4"/>
  <c r="E65" i="4"/>
  <c r="E66" i="4"/>
  <c r="E67" i="4"/>
  <c r="E68" i="4"/>
  <c r="E69" i="4"/>
  <c r="E70" i="4"/>
  <c r="E59" i="4"/>
  <c r="C61" i="4"/>
  <c r="C62" i="4"/>
  <c r="C63" i="4"/>
  <c r="C64" i="4"/>
  <c r="C65" i="4"/>
  <c r="C66" i="4"/>
  <c r="C67" i="4"/>
  <c r="C68" i="4"/>
  <c r="C69" i="4"/>
  <c r="C70" i="4"/>
  <c r="I71" i="4"/>
  <c r="B71" i="4"/>
  <c r="L64" i="4"/>
  <c r="C60" i="4"/>
  <c r="L59" i="4"/>
  <c r="J59" i="4"/>
  <c r="D71" i="4"/>
  <c r="C59" i="4"/>
  <c r="Y6" i="4"/>
  <c r="X6" i="4"/>
  <c r="W6" i="4"/>
  <c r="V6" i="4"/>
  <c r="AA42" i="4"/>
  <c r="AB42" i="4"/>
  <c r="AC42" i="4"/>
  <c r="AA43" i="4"/>
  <c r="AB43" i="4"/>
  <c r="AC43" i="4"/>
  <c r="AA44" i="4"/>
  <c r="AB44" i="4"/>
  <c r="AC44" i="4"/>
  <c r="AA45" i="4"/>
  <c r="AB45" i="4"/>
  <c r="AC45" i="4"/>
  <c r="AA46" i="4"/>
  <c r="AB46" i="4"/>
  <c r="AC46" i="4"/>
  <c r="AA47" i="4"/>
  <c r="AB47" i="4"/>
  <c r="AC47" i="4"/>
  <c r="AA48" i="4"/>
  <c r="AB48" i="4"/>
  <c r="AC48" i="4"/>
  <c r="AA49" i="4"/>
  <c r="AB49" i="4"/>
  <c r="AC49" i="4"/>
  <c r="AA50" i="4"/>
  <c r="AB50" i="4"/>
  <c r="AC50" i="4"/>
  <c r="AA51" i="4"/>
  <c r="AB51" i="4"/>
  <c r="AC51" i="4"/>
  <c r="AA52" i="4"/>
  <c r="AB52" i="4"/>
  <c r="AC52" i="4"/>
  <c r="AC41" i="4"/>
  <c r="AB41" i="4"/>
  <c r="AA41" i="4"/>
  <c r="V42" i="4"/>
  <c r="AF42" i="4" s="1"/>
  <c r="W42" i="4"/>
  <c r="AG42" i="4" s="1"/>
  <c r="X42" i="4"/>
  <c r="AH42" i="4" s="1"/>
  <c r="V43" i="4"/>
  <c r="AF43" i="4" s="1"/>
  <c r="W43" i="4"/>
  <c r="AG43" i="4" s="1"/>
  <c r="X43" i="4"/>
  <c r="AH43" i="4" s="1"/>
  <c r="V44" i="4"/>
  <c r="AF44" i="4" s="1"/>
  <c r="W44" i="4"/>
  <c r="AG44" i="4" s="1"/>
  <c r="X44" i="4"/>
  <c r="AH44" i="4" s="1"/>
  <c r="V45" i="4"/>
  <c r="AF45" i="4" s="1"/>
  <c r="W45" i="4"/>
  <c r="AG45" i="4" s="1"/>
  <c r="X45" i="4"/>
  <c r="AH45" i="4" s="1"/>
  <c r="V46" i="4"/>
  <c r="AF46" i="4" s="1"/>
  <c r="W46" i="4"/>
  <c r="AG46" i="4" s="1"/>
  <c r="X46" i="4"/>
  <c r="AH46" i="4" s="1"/>
  <c r="V47" i="4"/>
  <c r="AF47" i="4" s="1"/>
  <c r="W47" i="4"/>
  <c r="AG47" i="4" s="1"/>
  <c r="X47" i="4"/>
  <c r="AH47" i="4" s="1"/>
  <c r="V48" i="4"/>
  <c r="AF48" i="4" s="1"/>
  <c r="W48" i="4"/>
  <c r="AG48" i="4" s="1"/>
  <c r="X48" i="4"/>
  <c r="AH48" i="4" s="1"/>
  <c r="V49" i="4"/>
  <c r="AF49" i="4" s="1"/>
  <c r="W49" i="4"/>
  <c r="AG49" i="4" s="1"/>
  <c r="X49" i="4"/>
  <c r="AH49" i="4" s="1"/>
  <c r="V50" i="4"/>
  <c r="AF50" i="4" s="1"/>
  <c r="W50" i="4"/>
  <c r="AG50" i="4" s="1"/>
  <c r="X50" i="4"/>
  <c r="AH50" i="4" s="1"/>
  <c r="V51" i="4"/>
  <c r="AF51" i="4" s="1"/>
  <c r="W51" i="4"/>
  <c r="AG51" i="4" s="1"/>
  <c r="X51" i="4"/>
  <c r="AH51" i="4" s="1"/>
  <c r="V52" i="4"/>
  <c r="AF52" i="4" s="1"/>
  <c r="W52" i="4"/>
  <c r="AG52" i="4" s="1"/>
  <c r="X52" i="4"/>
  <c r="AH52" i="4" s="1"/>
  <c r="X41" i="4"/>
  <c r="AH41" i="4" s="1"/>
  <c r="W41" i="4"/>
  <c r="AG41" i="4" s="1"/>
  <c r="V41" i="4"/>
  <c r="U53" i="4"/>
  <c r="E71" i="4" l="1"/>
  <c r="K70" i="4"/>
  <c r="M70" i="4" s="1"/>
  <c r="K66" i="4"/>
  <c r="M66" i="4" s="1"/>
  <c r="K62" i="4"/>
  <c r="M62" i="4" s="1"/>
  <c r="K69" i="4"/>
  <c r="M69" i="4" s="1"/>
  <c r="K65" i="4"/>
  <c r="M65" i="4" s="1"/>
  <c r="K61" i="4"/>
  <c r="M61" i="4" s="1"/>
  <c r="K68" i="4"/>
  <c r="M68" i="4" s="1"/>
  <c r="K60" i="4"/>
  <c r="M60" i="4" s="1"/>
  <c r="M71" i="4" s="1"/>
  <c r="K67" i="4"/>
  <c r="M67" i="4" s="1"/>
  <c r="K63" i="4"/>
  <c r="M63" i="4" s="1"/>
  <c r="O65" i="4"/>
  <c r="O61" i="4"/>
  <c r="O69" i="4"/>
  <c r="O59" i="4"/>
  <c r="AA53" i="4"/>
  <c r="Z51" i="4"/>
  <c r="AE51" i="4" s="1"/>
  <c r="Z47" i="4"/>
  <c r="AE47" i="4" s="1"/>
  <c r="Z43" i="4"/>
  <c r="AE43" i="4" s="1"/>
  <c r="S71" i="4"/>
  <c r="O60" i="4"/>
  <c r="O67" i="4"/>
  <c r="O68" i="4"/>
  <c r="O66" i="4"/>
  <c r="L71" i="4"/>
  <c r="O64" i="4"/>
  <c r="O62" i="4"/>
  <c r="O70" i="4"/>
  <c r="X53" i="4"/>
  <c r="Z41" i="4"/>
  <c r="AB53" i="4"/>
  <c r="V53" i="4"/>
  <c r="AF41" i="4"/>
  <c r="AC53" i="4"/>
  <c r="Z52" i="4"/>
  <c r="AE52" i="4" s="1"/>
  <c r="J71" i="4"/>
  <c r="W53" i="4"/>
  <c r="Z48" i="4"/>
  <c r="AE48" i="4" s="1"/>
  <c r="Z44" i="4"/>
  <c r="AE44" i="4" s="1"/>
  <c r="O63" i="4"/>
  <c r="Z49" i="4"/>
  <c r="AE49" i="4" s="1"/>
  <c r="Z45" i="4"/>
  <c r="AE45" i="4" s="1"/>
  <c r="Z50" i="4"/>
  <c r="AE50" i="4" s="1"/>
  <c r="Z46" i="4"/>
  <c r="AE46" i="4" s="1"/>
  <c r="Z42" i="4"/>
  <c r="AE42" i="4" s="1"/>
  <c r="F71" i="4"/>
  <c r="G71" i="4" s="1"/>
  <c r="H71" i="4" s="1"/>
  <c r="C71" i="4"/>
  <c r="L42" i="4"/>
  <c r="L43" i="4"/>
  <c r="L44" i="4"/>
  <c r="L45" i="4"/>
  <c r="L46" i="4"/>
  <c r="L47" i="4"/>
  <c r="L48" i="4"/>
  <c r="L49" i="4"/>
  <c r="L50" i="4"/>
  <c r="L51" i="4"/>
  <c r="L52" i="4"/>
  <c r="L41" i="4"/>
  <c r="O53" i="4"/>
  <c r="M53" i="4"/>
  <c r="Q53" i="4"/>
  <c r="AJ49" i="4" l="1"/>
  <c r="AJ48" i="4"/>
  <c r="AJ47" i="4"/>
  <c r="AJ45" i="4"/>
  <c r="AJ51" i="4"/>
  <c r="O71" i="4"/>
  <c r="AJ43" i="4"/>
  <c r="AJ50" i="4"/>
  <c r="AF53" i="4"/>
  <c r="AJ52" i="4"/>
  <c r="K71" i="4"/>
  <c r="AG53" i="4"/>
  <c r="AH53" i="4"/>
  <c r="AJ46" i="4"/>
  <c r="AE41" i="4"/>
  <c r="AJ41" i="4" s="1"/>
  <c r="Z53" i="4"/>
  <c r="AE53" i="4" s="1"/>
  <c r="AJ44" i="4"/>
  <c r="AJ42" i="4"/>
  <c r="L53" i="4"/>
  <c r="I53" i="4"/>
  <c r="P53" i="4" s="1"/>
  <c r="J53" i="4"/>
  <c r="R53" i="4" s="1"/>
  <c r="H53" i="4"/>
  <c r="N53" i="4" s="1"/>
  <c r="G42" i="4"/>
  <c r="G43" i="4"/>
  <c r="G44" i="4"/>
  <c r="G45" i="4"/>
  <c r="G46" i="4"/>
  <c r="G47" i="4"/>
  <c r="G48" i="4"/>
  <c r="G49" i="4"/>
  <c r="G50" i="4"/>
  <c r="G51" i="4"/>
  <c r="G52" i="4"/>
  <c r="G41" i="4"/>
  <c r="X33" i="4"/>
  <c r="W33" i="4"/>
  <c r="V33" i="4"/>
  <c r="V30" i="4"/>
  <c r="Y30" i="4"/>
  <c r="W30" i="4"/>
  <c r="X30" i="4"/>
  <c r="V25" i="4"/>
  <c r="W25" i="4"/>
  <c r="X25" i="4"/>
  <c r="Y25" i="4"/>
  <c r="V26" i="4"/>
  <c r="W26" i="4"/>
  <c r="X26" i="4"/>
  <c r="Y26" i="4"/>
  <c r="V27" i="4"/>
  <c r="W27" i="4"/>
  <c r="X27" i="4"/>
  <c r="Y27" i="4"/>
  <c r="V28" i="4"/>
  <c r="W28" i="4"/>
  <c r="X28" i="4"/>
  <c r="Y28" i="4"/>
  <c r="V29" i="4"/>
  <c r="W29" i="4"/>
  <c r="X29" i="4"/>
  <c r="Y29" i="4"/>
  <c r="V31" i="4"/>
  <c r="W31" i="4"/>
  <c r="X31" i="4"/>
  <c r="Y31" i="4"/>
  <c r="V32" i="4"/>
  <c r="W32" i="4"/>
  <c r="X32" i="4"/>
  <c r="Y32" i="4"/>
  <c r="V35" i="4"/>
  <c r="W35" i="4"/>
  <c r="X35" i="4"/>
  <c r="Y35" i="4"/>
  <c r="Y24" i="4"/>
  <c r="X24" i="4"/>
  <c r="W24" i="4"/>
  <c r="V24" i="4"/>
  <c r="AA25" i="4"/>
  <c r="AB25" i="4"/>
  <c r="AG25" i="4" s="1"/>
  <c r="AC25" i="4"/>
  <c r="AD25" i="4"/>
  <c r="AA26" i="4"/>
  <c r="AB26" i="4"/>
  <c r="AG26" i="4" s="1"/>
  <c r="AC26" i="4"/>
  <c r="AD26" i="4"/>
  <c r="AA27" i="4"/>
  <c r="AB27" i="4"/>
  <c r="AG27" i="4" s="1"/>
  <c r="AC27" i="4"/>
  <c r="AD27" i="4"/>
  <c r="AA28" i="4"/>
  <c r="AB28" i="4"/>
  <c r="AG28" i="4" s="1"/>
  <c r="AC28" i="4"/>
  <c r="AD28" i="4"/>
  <c r="AA29" i="4"/>
  <c r="AB29" i="4"/>
  <c r="AG29" i="4" s="1"/>
  <c r="AC29" i="4"/>
  <c r="AD29" i="4"/>
  <c r="AA30" i="4"/>
  <c r="AB30" i="4"/>
  <c r="AC30" i="4"/>
  <c r="AD30" i="4"/>
  <c r="AA31" i="4"/>
  <c r="AB31" i="4"/>
  <c r="AG31" i="4" s="1"/>
  <c r="AC31" i="4"/>
  <c r="AD31" i="4"/>
  <c r="AA32" i="4"/>
  <c r="AB32" i="4"/>
  <c r="AG32" i="4" s="1"/>
  <c r="AC32" i="4"/>
  <c r="AD32" i="4"/>
  <c r="AA33" i="4"/>
  <c r="AB33" i="4"/>
  <c r="AC33" i="4"/>
  <c r="AD33" i="4"/>
  <c r="AI33" i="4" s="1"/>
  <c r="AN33" i="4" s="1"/>
  <c r="AA34" i="4"/>
  <c r="AF34" i="4" s="1"/>
  <c r="AB34" i="4"/>
  <c r="AG34" i="4" s="1"/>
  <c r="AC34" i="4"/>
  <c r="AH34" i="4" s="1"/>
  <c r="AD34" i="4"/>
  <c r="AI34" i="4" s="1"/>
  <c r="AN34" i="4" s="1"/>
  <c r="AA35" i="4"/>
  <c r="AB35" i="4"/>
  <c r="AC35" i="4"/>
  <c r="AD35" i="4"/>
  <c r="AI35" i="4" s="1"/>
  <c r="AN35" i="4" s="1"/>
  <c r="AD24" i="4"/>
  <c r="AC24" i="4"/>
  <c r="AB24" i="4"/>
  <c r="AA24" i="4"/>
  <c r="L25" i="4"/>
  <c r="Z25" i="4" s="1"/>
  <c r="AE25" i="4" s="1"/>
  <c r="L26" i="4"/>
  <c r="Z26" i="4" s="1"/>
  <c r="AE26" i="4" s="1"/>
  <c r="AJ26" i="4" s="1"/>
  <c r="L27" i="4"/>
  <c r="L28" i="4"/>
  <c r="L29" i="4"/>
  <c r="Z29" i="4" s="1"/>
  <c r="AE29" i="4" s="1"/>
  <c r="L30" i="4"/>
  <c r="L31" i="4"/>
  <c r="L32" i="4"/>
  <c r="L33" i="4"/>
  <c r="Z33" i="4" s="1"/>
  <c r="AE33" i="4" s="1"/>
  <c r="L34" i="4"/>
  <c r="Z34" i="4" s="1"/>
  <c r="AE34" i="4" s="1"/>
  <c r="AJ34" i="4" s="1"/>
  <c r="L35" i="4"/>
  <c r="L24" i="4"/>
  <c r="O36" i="4"/>
  <c r="Q36" i="4"/>
  <c r="S36" i="4"/>
  <c r="M36" i="4"/>
  <c r="G35" i="4"/>
  <c r="G25" i="4"/>
  <c r="G26" i="4"/>
  <c r="G27" i="4"/>
  <c r="G28" i="4"/>
  <c r="G29" i="4"/>
  <c r="G30" i="4"/>
  <c r="G31" i="4"/>
  <c r="G32" i="4"/>
  <c r="G33" i="4"/>
  <c r="G34" i="4"/>
  <c r="G24" i="4"/>
  <c r="I36" i="4"/>
  <c r="J36" i="4"/>
  <c r="K36" i="4"/>
  <c r="T36" i="4" s="1"/>
  <c r="H36" i="4"/>
  <c r="AH31" i="4" l="1"/>
  <c r="AH26" i="4"/>
  <c r="AJ53" i="4"/>
  <c r="AH32" i="4"/>
  <c r="AH29" i="4"/>
  <c r="AH25" i="4"/>
  <c r="AC36" i="4"/>
  <c r="AH33" i="4"/>
  <c r="AA36" i="4"/>
  <c r="AH30" i="4"/>
  <c r="AF24" i="4"/>
  <c r="AI31" i="4"/>
  <c r="AN31" i="4" s="1"/>
  <c r="AI29" i="4"/>
  <c r="AN29" i="4" s="1"/>
  <c r="AI27" i="4"/>
  <c r="AN27" i="4" s="1"/>
  <c r="AI25" i="4"/>
  <c r="AN25" i="4" s="1"/>
  <c r="AG24" i="4"/>
  <c r="AH35" i="4"/>
  <c r="AH28" i="4"/>
  <c r="AH27" i="4"/>
  <c r="G36" i="4"/>
  <c r="AI30" i="4"/>
  <c r="AN30" i="4" s="1"/>
  <c r="AF35" i="4"/>
  <c r="N36" i="4"/>
  <c r="R36" i="4"/>
  <c r="Z30" i="4"/>
  <c r="AE30" i="4" s="1"/>
  <c r="AJ30" i="4" s="1"/>
  <c r="X36" i="4"/>
  <c r="AF32" i="4"/>
  <c r="AF31" i="4"/>
  <c r="AF29" i="4"/>
  <c r="AF28" i="4"/>
  <c r="AF27" i="4"/>
  <c r="AF26" i="4"/>
  <c r="AF25" i="4"/>
  <c r="AF30" i="4"/>
  <c r="AI32" i="4"/>
  <c r="AN32" i="4" s="1"/>
  <c r="AI28" i="4"/>
  <c r="AN28" i="4" s="1"/>
  <c r="AI26" i="4"/>
  <c r="AN26" i="4" s="1"/>
  <c r="AD36" i="4"/>
  <c r="Z24" i="4"/>
  <c r="Z32" i="4"/>
  <c r="AE32" i="4" s="1"/>
  <c r="AJ32" i="4" s="1"/>
  <c r="Z28" i="4"/>
  <c r="AE28" i="4" s="1"/>
  <c r="AJ28" i="4" s="1"/>
  <c r="L36" i="4"/>
  <c r="AI24" i="4"/>
  <c r="AN24" i="4" s="1"/>
  <c r="Y36" i="4"/>
  <c r="P36" i="4"/>
  <c r="V36" i="4"/>
  <c r="AF33" i="4"/>
  <c r="AJ33" i="4"/>
  <c r="AJ29" i="4"/>
  <c r="AJ25" i="4"/>
  <c r="AB36" i="4"/>
  <c r="AH24" i="4"/>
  <c r="AG35" i="4"/>
  <c r="AG30" i="4"/>
  <c r="AG33" i="4"/>
  <c r="Z35" i="4"/>
  <c r="AE35" i="4" s="1"/>
  <c r="AJ35" i="4" s="1"/>
  <c r="Z31" i="4"/>
  <c r="AE31" i="4" s="1"/>
  <c r="AJ31" i="4" s="1"/>
  <c r="Z27" i="4"/>
  <c r="AE27" i="4" s="1"/>
  <c r="AJ27" i="4" s="1"/>
  <c r="W36" i="4"/>
  <c r="AG36" i="4" s="1"/>
  <c r="AA7" i="4"/>
  <c r="AB7" i="4"/>
  <c r="AC7" i="4"/>
  <c r="AD7" i="4"/>
  <c r="AA8" i="4"/>
  <c r="AB8" i="4"/>
  <c r="AC8" i="4"/>
  <c r="AD8" i="4"/>
  <c r="AA9" i="4"/>
  <c r="AB9" i="4"/>
  <c r="AC9" i="4"/>
  <c r="AD9" i="4"/>
  <c r="AA10" i="4"/>
  <c r="AB10" i="4"/>
  <c r="AC10" i="4"/>
  <c r="AD10" i="4"/>
  <c r="AA11" i="4"/>
  <c r="AB11" i="4"/>
  <c r="AC11" i="4"/>
  <c r="AD11" i="4"/>
  <c r="AA12" i="4"/>
  <c r="AB12" i="4"/>
  <c r="AC12" i="4"/>
  <c r="AD12" i="4"/>
  <c r="AA13" i="4"/>
  <c r="AB13" i="4"/>
  <c r="AC13" i="4"/>
  <c r="AD13" i="4"/>
  <c r="AA14" i="4"/>
  <c r="AB14" i="4"/>
  <c r="AC14" i="4"/>
  <c r="AD14" i="4"/>
  <c r="AA15" i="4"/>
  <c r="AB15" i="4"/>
  <c r="AC15" i="4"/>
  <c r="AD15" i="4"/>
  <c r="AA16" i="4"/>
  <c r="AB16" i="4"/>
  <c r="AC16" i="4"/>
  <c r="AD16" i="4"/>
  <c r="AD6" i="4"/>
  <c r="AC6" i="4"/>
  <c r="AB6" i="4"/>
  <c r="AA6" i="4"/>
  <c r="AC5" i="4"/>
  <c r="AB5" i="4"/>
  <c r="AA5" i="4"/>
  <c r="X16" i="4"/>
  <c r="W16" i="4"/>
  <c r="V16" i="4"/>
  <c r="Y1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V13" i="4"/>
  <c r="W13" i="4"/>
  <c r="X13" i="4"/>
  <c r="Y13" i="4"/>
  <c r="V14" i="4"/>
  <c r="W14" i="4"/>
  <c r="X14" i="4"/>
  <c r="Y14" i="4"/>
  <c r="V15" i="4"/>
  <c r="W15" i="4"/>
  <c r="X15" i="4"/>
  <c r="Y15" i="4"/>
  <c r="X5" i="4"/>
  <c r="W5" i="4"/>
  <c r="V5" i="4"/>
  <c r="AH5" i="4"/>
  <c r="AG5" i="4"/>
  <c r="AF5" i="4"/>
  <c r="AE24" i="4" l="1"/>
  <c r="AJ24" i="4" s="1"/>
  <c r="X17" i="4"/>
  <c r="AH36" i="4"/>
  <c r="V17" i="4"/>
  <c r="Y17" i="4"/>
  <c r="W17" i="4"/>
  <c r="AF36" i="4"/>
  <c r="AD17" i="4"/>
  <c r="AI36" i="4"/>
  <c r="AN36" i="4" s="1"/>
  <c r="AB17" i="4"/>
  <c r="AA17" i="4"/>
  <c r="AC17" i="4"/>
  <c r="AS17" i="4" l="1"/>
  <c r="AP6" i="4"/>
  <c r="AQ6" i="4"/>
  <c r="AR6" i="4"/>
  <c r="AP7" i="4"/>
  <c r="AQ7" i="4"/>
  <c r="AR7" i="4"/>
  <c r="AP8" i="4"/>
  <c r="AQ8" i="4"/>
  <c r="AR8" i="4"/>
  <c r="AP9" i="4"/>
  <c r="AQ9" i="4"/>
  <c r="AR9" i="4"/>
  <c r="AP10" i="4"/>
  <c r="AQ10" i="4"/>
  <c r="AR10" i="4"/>
  <c r="AP11" i="4"/>
  <c r="AQ11" i="4"/>
  <c r="AR11" i="4"/>
  <c r="AP12" i="4"/>
  <c r="AQ12" i="4"/>
  <c r="AR12" i="4"/>
  <c r="AP13" i="4"/>
  <c r="AQ13" i="4"/>
  <c r="AR13" i="4"/>
  <c r="AP14" i="4"/>
  <c r="AQ14" i="4"/>
  <c r="AR14" i="4"/>
  <c r="AP15" i="4"/>
  <c r="AQ15" i="4"/>
  <c r="AR15" i="4"/>
  <c r="AP16" i="4"/>
  <c r="AQ16" i="4"/>
  <c r="AR16" i="4"/>
  <c r="AR5" i="4"/>
  <c r="AQ5" i="4"/>
  <c r="AP5" i="4"/>
  <c r="AK6" i="4"/>
  <c r="AL6" i="4"/>
  <c r="AM6" i="4"/>
  <c r="AK7" i="4"/>
  <c r="AL7" i="4"/>
  <c r="AM7" i="4"/>
  <c r="AK8" i="4"/>
  <c r="AL8" i="4"/>
  <c r="AM8" i="4"/>
  <c r="AK9" i="4"/>
  <c r="AL9" i="4"/>
  <c r="AM9" i="4"/>
  <c r="AK10" i="4"/>
  <c r="AL10" i="4"/>
  <c r="AM10" i="4"/>
  <c r="AK11" i="4"/>
  <c r="AL11" i="4"/>
  <c r="AM11" i="4"/>
  <c r="AK12" i="4"/>
  <c r="AL12" i="4"/>
  <c r="AM12" i="4"/>
  <c r="AK13" i="4"/>
  <c r="AL13" i="4"/>
  <c r="AM13" i="4"/>
  <c r="AK14" i="4"/>
  <c r="AL14" i="4"/>
  <c r="AM14" i="4"/>
  <c r="AK15" i="4"/>
  <c r="AL15" i="4"/>
  <c r="AM15" i="4"/>
  <c r="AK16" i="4"/>
  <c r="AL16" i="4"/>
  <c r="AM16" i="4"/>
  <c r="AM5" i="4"/>
  <c r="AL5" i="4"/>
  <c r="AK5" i="4"/>
  <c r="AN17" i="4"/>
  <c r="L6" i="4"/>
  <c r="L7" i="4"/>
  <c r="L8" i="4"/>
  <c r="L9" i="4"/>
  <c r="L10" i="4"/>
  <c r="L11" i="4"/>
  <c r="L12" i="4"/>
  <c r="L13" i="4"/>
  <c r="L14" i="4"/>
  <c r="L15" i="4"/>
  <c r="L16" i="4"/>
  <c r="L5" i="4"/>
  <c r="AO5" i="4" l="1"/>
  <c r="AU5" i="4"/>
  <c r="AW5" i="4" s="1"/>
  <c r="BB5" i="4" s="1"/>
  <c r="AU13" i="4"/>
  <c r="AV13" i="4" s="1"/>
  <c r="AU9" i="4"/>
  <c r="AV9" i="4" s="1"/>
  <c r="AU16" i="4"/>
  <c r="AX16" i="4" s="1"/>
  <c r="AU12" i="4"/>
  <c r="AV12" i="4" s="1"/>
  <c r="AU8" i="4"/>
  <c r="AX8" i="4" s="1"/>
  <c r="AJ5" i="4"/>
  <c r="AU15" i="4"/>
  <c r="AX15" i="4" s="1"/>
  <c r="AU7" i="4"/>
  <c r="AX7" i="4" s="1"/>
  <c r="AU11" i="4"/>
  <c r="AX11" i="4" s="1"/>
  <c r="AU14" i="4"/>
  <c r="AU10" i="4"/>
  <c r="AU6" i="4"/>
  <c r="AW6" i="4" s="1"/>
  <c r="AJ9" i="4"/>
  <c r="AV8" i="4"/>
  <c r="AO16" i="4"/>
  <c r="AO12" i="4"/>
  <c r="AO8" i="4"/>
  <c r="AJ14" i="4"/>
  <c r="AJ13" i="4"/>
  <c r="AJ6" i="4"/>
  <c r="AR17" i="4"/>
  <c r="AO15" i="4"/>
  <c r="AO13" i="4"/>
  <c r="AO11" i="4"/>
  <c r="AO9" i="4"/>
  <c r="AO7" i="4"/>
  <c r="AQ17" i="4"/>
  <c r="AX5" i="4"/>
  <c r="BC5" i="4" s="1"/>
  <c r="AJ10" i="4"/>
  <c r="AK17" i="4"/>
  <c r="AO14" i="4"/>
  <c r="AO10" i="4"/>
  <c r="AO6" i="4"/>
  <c r="AL17" i="4"/>
  <c r="AJ16" i="4"/>
  <c r="AJ15" i="4"/>
  <c r="AJ12" i="4"/>
  <c r="AJ11" i="4"/>
  <c r="AJ8" i="4"/>
  <c r="AJ7" i="4"/>
  <c r="AP17" i="4"/>
  <c r="AM17" i="4"/>
  <c r="AY7" i="4" l="1"/>
  <c r="AW11" i="4"/>
  <c r="AX13" i="4"/>
  <c r="AX12" i="4"/>
  <c r="AV7" i="4"/>
  <c r="AW12" i="4"/>
  <c r="AW7" i="4"/>
  <c r="AW9" i="4"/>
  <c r="AY12" i="4"/>
  <c r="AV5" i="4"/>
  <c r="BA5" i="4" s="1"/>
  <c r="AW15" i="4"/>
  <c r="AW16" i="4"/>
  <c r="AZ5" i="4"/>
  <c r="BE5" i="4" s="1"/>
  <c r="AZ12" i="4"/>
  <c r="BE12" i="4" s="1"/>
  <c r="AY5" i="4"/>
  <c r="BD5" i="4" s="1"/>
  <c r="BI5" i="4" s="1"/>
  <c r="AZ14" i="4"/>
  <c r="BE14" i="4" s="1"/>
  <c r="AV15" i="4"/>
  <c r="AV16" i="4"/>
  <c r="AW13" i="4"/>
  <c r="AX9" i="4"/>
  <c r="AY9" i="4"/>
  <c r="AW8" i="4"/>
  <c r="AZ9" i="4"/>
  <c r="BE9" i="4" s="1"/>
  <c r="AV10" i="4"/>
  <c r="AY10" i="4"/>
  <c r="AZ7" i="4"/>
  <c r="BE7" i="4" s="1"/>
  <c r="AZ15" i="4"/>
  <c r="BE15" i="4" s="1"/>
  <c r="AZ10" i="4"/>
  <c r="BE10" i="4" s="1"/>
  <c r="AU17" i="4"/>
  <c r="AZ8" i="4"/>
  <c r="BE8" i="4" s="1"/>
  <c r="AZ16" i="4"/>
  <c r="BE16" i="4" s="1"/>
  <c r="AZ6" i="4"/>
  <c r="BE6" i="4" s="1"/>
  <c r="AY15" i="4"/>
  <c r="AY8" i="4"/>
  <c r="AY16" i="4"/>
  <c r="AW10" i="4"/>
  <c r="AX10" i="4"/>
  <c r="AV6" i="4"/>
  <c r="AX6" i="4"/>
  <c r="AY6" i="4"/>
  <c r="AV14" i="4"/>
  <c r="AY14" i="4"/>
  <c r="AZ11" i="4"/>
  <c r="BE11" i="4" s="1"/>
  <c r="AZ13" i="4"/>
  <c r="BE13" i="4" s="1"/>
  <c r="AY13" i="4"/>
  <c r="AW14" i="4"/>
  <c r="AX14" i="4"/>
  <c r="AV11" i="4"/>
  <c r="AY11" i="4"/>
  <c r="AI6" i="4"/>
  <c r="AI7" i="4"/>
  <c r="AI8" i="4"/>
  <c r="AI9" i="4"/>
  <c r="AI10" i="4"/>
  <c r="AI11" i="4"/>
  <c r="AI12" i="4"/>
  <c r="AI13" i="4"/>
  <c r="AI14" i="4"/>
  <c r="AI15" i="4"/>
  <c r="AI16" i="4"/>
  <c r="AF6" i="4"/>
  <c r="AG6" i="4"/>
  <c r="BB6" i="4" s="1"/>
  <c r="AH6" i="4"/>
  <c r="AF7" i="4"/>
  <c r="AG7" i="4"/>
  <c r="AH7" i="4"/>
  <c r="BC7" i="4" s="1"/>
  <c r="AF8" i="4"/>
  <c r="BA8" i="4" s="1"/>
  <c r="AG8" i="4"/>
  <c r="BB8" i="4" s="1"/>
  <c r="AH8" i="4"/>
  <c r="BC8" i="4" s="1"/>
  <c r="AF9" i="4"/>
  <c r="BA9" i="4" s="1"/>
  <c r="AG9" i="4"/>
  <c r="AH9" i="4"/>
  <c r="BC9" i="4" s="1"/>
  <c r="AF10" i="4"/>
  <c r="AG10" i="4"/>
  <c r="AH10" i="4"/>
  <c r="AF11" i="4"/>
  <c r="BA11" i="4" s="1"/>
  <c r="AG11" i="4"/>
  <c r="AH11" i="4"/>
  <c r="BC11" i="4" s="1"/>
  <c r="AF12" i="4"/>
  <c r="BA12" i="4" s="1"/>
  <c r="AG12" i="4"/>
  <c r="BB12" i="4" s="1"/>
  <c r="AH12" i="4"/>
  <c r="AF13" i="4"/>
  <c r="BA13" i="4" s="1"/>
  <c r="AG13" i="4"/>
  <c r="AH13" i="4"/>
  <c r="AF14" i="4"/>
  <c r="AG14" i="4"/>
  <c r="AH14" i="4"/>
  <c r="AF15" i="4"/>
  <c r="AG15" i="4"/>
  <c r="AH15" i="4"/>
  <c r="BC15" i="4" s="1"/>
  <c r="AF16" i="4"/>
  <c r="BA16" i="4" s="1"/>
  <c r="AG16" i="4"/>
  <c r="BB16" i="4" s="1"/>
  <c r="AH16" i="4"/>
  <c r="BC16" i="4" s="1"/>
  <c r="BD7" i="4" l="1"/>
  <c r="BI7" i="4" s="1"/>
  <c r="BC13" i="4"/>
  <c r="BC12" i="4"/>
  <c r="BB11" i="4"/>
  <c r="BA10" i="4"/>
  <c r="BA6" i="4"/>
  <c r="BB9" i="4"/>
  <c r="BA7" i="4"/>
  <c r="BD12" i="4"/>
  <c r="BI12" i="4" s="1"/>
  <c r="AV17" i="4"/>
  <c r="BE17" i="4"/>
  <c r="BC14" i="4"/>
  <c r="BB13" i="4"/>
  <c r="BC10" i="4"/>
  <c r="BD15" i="4"/>
  <c r="BI15" i="4" s="1"/>
  <c r="BB15" i="4"/>
  <c r="BA14" i="4"/>
  <c r="BB7" i="4"/>
  <c r="BD13" i="4"/>
  <c r="BI13" i="4" s="1"/>
  <c r="BD9" i="4"/>
  <c r="BI9" i="4" s="1"/>
  <c r="BA15" i="4"/>
  <c r="BD8" i="4"/>
  <c r="BI8" i="4" s="1"/>
  <c r="AZ17" i="4"/>
  <c r="AW17" i="4"/>
  <c r="AX17" i="4"/>
  <c r="BB10" i="4"/>
  <c r="BD6" i="4"/>
  <c r="BI6" i="4" s="1"/>
  <c r="AY17" i="4"/>
  <c r="BD16" i="4"/>
  <c r="BI16" i="4" s="1"/>
  <c r="BC6" i="4"/>
  <c r="BD11" i="4"/>
  <c r="BI11" i="4" s="1"/>
  <c r="BB14" i="4"/>
  <c r="BD14" i="4"/>
  <c r="BI14" i="4" s="1"/>
  <c r="BD10" i="4"/>
  <c r="BI10" i="4" s="1"/>
  <c r="AF17" i="4"/>
  <c r="AG17" i="4"/>
  <c r="AH17" i="4"/>
  <c r="AI17" i="4"/>
  <c r="Q17" i="4"/>
  <c r="O17" i="4"/>
  <c r="M17" i="4"/>
  <c r="S17" i="4"/>
  <c r="G6" i="4"/>
  <c r="G7" i="4"/>
  <c r="G8" i="4"/>
  <c r="G9" i="4"/>
  <c r="G10" i="4"/>
  <c r="G11" i="4"/>
  <c r="G12" i="4"/>
  <c r="G13" i="4"/>
  <c r="G14" i="4"/>
  <c r="G15" i="4"/>
  <c r="G16" i="4"/>
  <c r="BA17" i="4" l="1"/>
  <c r="BB17" i="4"/>
  <c r="BI17" i="4"/>
  <c r="BC17" i="4"/>
  <c r="BD17" i="4"/>
  <c r="G5" i="4"/>
  <c r="K17" i="4"/>
  <c r="T17" i="4" s="1"/>
  <c r="G17" i="4" l="1"/>
  <c r="J17" i="4" l="1"/>
  <c r="R17" i="4" s="1"/>
  <c r="I17" i="4"/>
  <c r="P17" i="4" s="1"/>
  <c r="H17" i="4"/>
  <c r="N17" i="4" s="1"/>
  <c r="C42" i="4" l="1"/>
  <c r="AK42" i="4" s="1"/>
  <c r="D42" i="4"/>
  <c r="AL42" i="4" s="1"/>
  <c r="E42" i="4"/>
  <c r="AM42" i="4" s="1"/>
  <c r="C43" i="4"/>
  <c r="AK43" i="4" s="1"/>
  <c r="D43" i="4"/>
  <c r="AL43" i="4" s="1"/>
  <c r="E43" i="4"/>
  <c r="AM43" i="4" s="1"/>
  <c r="C44" i="4"/>
  <c r="AK44" i="4" s="1"/>
  <c r="D44" i="4"/>
  <c r="AL44" i="4" s="1"/>
  <c r="E44" i="4"/>
  <c r="AM44" i="4" s="1"/>
  <c r="C45" i="4"/>
  <c r="AK45" i="4" s="1"/>
  <c r="D45" i="4"/>
  <c r="AL45" i="4" s="1"/>
  <c r="E45" i="4"/>
  <c r="AM45" i="4" s="1"/>
  <c r="C46" i="4"/>
  <c r="AK46" i="4" s="1"/>
  <c r="D46" i="4"/>
  <c r="AL46" i="4" s="1"/>
  <c r="E46" i="4"/>
  <c r="AM46" i="4" s="1"/>
  <c r="C47" i="4"/>
  <c r="AK47" i="4" s="1"/>
  <c r="D47" i="4"/>
  <c r="AL47" i="4" s="1"/>
  <c r="E47" i="4"/>
  <c r="AM47" i="4" s="1"/>
  <c r="C48" i="4"/>
  <c r="AK48" i="4" s="1"/>
  <c r="D48" i="4"/>
  <c r="AL48" i="4" s="1"/>
  <c r="E48" i="4"/>
  <c r="AM48" i="4" s="1"/>
  <c r="C49" i="4"/>
  <c r="AK49" i="4" s="1"/>
  <c r="D49" i="4"/>
  <c r="AL49" i="4" s="1"/>
  <c r="E49" i="4"/>
  <c r="AM49" i="4" s="1"/>
  <c r="C50" i="4"/>
  <c r="AK50" i="4" s="1"/>
  <c r="D50" i="4"/>
  <c r="AL50" i="4" s="1"/>
  <c r="E50" i="4"/>
  <c r="AM50" i="4" s="1"/>
  <c r="C51" i="4"/>
  <c r="AK51" i="4" s="1"/>
  <c r="D51" i="4"/>
  <c r="AL51" i="4" s="1"/>
  <c r="E51" i="4"/>
  <c r="AM51" i="4" s="1"/>
  <c r="C52" i="4"/>
  <c r="AK52" i="4" s="1"/>
  <c r="D52" i="4"/>
  <c r="AL52" i="4" s="1"/>
  <c r="E52" i="4"/>
  <c r="AM52" i="4" s="1"/>
  <c r="E41" i="4"/>
  <c r="AM41" i="4" s="1"/>
  <c r="D41" i="4"/>
  <c r="AL41" i="4" s="1"/>
  <c r="C41" i="4"/>
  <c r="AK41" i="4" s="1"/>
  <c r="AK53" i="4" l="1"/>
  <c r="AL53" i="4"/>
  <c r="AM53" i="4"/>
  <c r="B53" i="4"/>
  <c r="D53" i="4" l="1"/>
  <c r="E53" i="4"/>
  <c r="C53" i="4"/>
  <c r="C25" i="4" l="1"/>
  <c r="AK25" i="4" s="1"/>
  <c r="D25" i="4"/>
  <c r="AL25" i="4" s="1"/>
  <c r="E25" i="4"/>
  <c r="AM25" i="4" s="1"/>
  <c r="C26" i="4"/>
  <c r="AK26" i="4" s="1"/>
  <c r="D26" i="4"/>
  <c r="AL26" i="4" s="1"/>
  <c r="E26" i="4"/>
  <c r="AM26" i="4" s="1"/>
  <c r="C27" i="4"/>
  <c r="AK27" i="4" s="1"/>
  <c r="D27" i="4"/>
  <c r="AL27" i="4" s="1"/>
  <c r="E27" i="4"/>
  <c r="AM27" i="4" s="1"/>
  <c r="C28" i="4"/>
  <c r="AK28" i="4" s="1"/>
  <c r="D28" i="4"/>
  <c r="AL28" i="4" s="1"/>
  <c r="E28" i="4"/>
  <c r="AM28" i="4" s="1"/>
  <c r="C29" i="4"/>
  <c r="AK29" i="4" s="1"/>
  <c r="D29" i="4"/>
  <c r="AL29" i="4" s="1"/>
  <c r="E29" i="4"/>
  <c r="AM29" i="4" s="1"/>
  <c r="C30" i="4"/>
  <c r="AK30" i="4" s="1"/>
  <c r="D30" i="4"/>
  <c r="AL30" i="4" s="1"/>
  <c r="E30" i="4"/>
  <c r="AM30" i="4" s="1"/>
  <c r="C31" i="4"/>
  <c r="AK31" i="4" s="1"/>
  <c r="D31" i="4"/>
  <c r="AL31" i="4" s="1"/>
  <c r="E31" i="4"/>
  <c r="AM31" i="4" s="1"/>
  <c r="C32" i="4"/>
  <c r="AK32" i="4" s="1"/>
  <c r="D32" i="4"/>
  <c r="AL32" i="4" s="1"/>
  <c r="E32" i="4"/>
  <c r="AM32" i="4" s="1"/>
  <c r="C33" i="4"/>
  <c r="AK33" i="4" s="1"/>
  <c r="D33" i="4"/>
  <c r="AL33" i="4" s="1"/>
  <c r="E33" i="4"/>
  <c r="AM33" i="4" s="1"/>
  <c r="C34" i="4"/>
  <c r="AK34" i="4" s="1"/>
  <c r="D34" i="4"/>
  <c r="AL34" i="4" s="1"/>
  <c r="E34" i="4"/>
  <c r="AM34" i="4" s="1"/>
  <c r="C35" i="4"/>
  <c r="AK35" i="4" s="1"/>
  <c r="D35" i="4"/>
  <c r="AL35" i="4" s="1"/>
  <c r="E35" i="4"/>
  <c r="AM35" i="4" s="1"/>
  <c r="E24" i="4"/>
  <c r="AM24" i="4" s="1"/>
  <c r="D24" i="4"/>
  <c r="AL24" i="4" s="1"/>
  <c r="C24" i="4"/>
  <c r="AK24" i="4" s="1"/>
  <c r="E6" i="4"/>
  <c r="BH6" i="4" s="1"/>
  <c r="E7" i="4"/>
  <c r="BH7" i="4" s="1"/>
  <c r="E8" i="4"/>
  <c r="BH8" i="4" s="1"/>
  <c r="E9" i="4"/>
  <c r="BH9" i="4" s="1"/>
  <c r="E10" i="4"/>
  <c r="BH10" i="4" s="1"/>
  <c r="E11" i="4"/>
  <c r="BH11" i="4" s="1"/>
  <c r="E12" i="4"/>
  <c r="BH12" i="4" s="1"/>
  <c r="E13" i="4"/>
  <c r="BH13" i="4" s="1"/>
  <c r="E14" i="4"/>
  <c r="BH14" i="4" s="1"/>
  <c r="E15" i="4"/>
  <c r="BH15" i="4" s="1"/>
  <c r="E16" i="4"/>
  <c r="BH16" i="4" s="1"/>
  <c r="E5" i="4"/>
  <c r="BH5" i="4" s="1"/>
  <c r="D6" i="4"/>
  <c r="BG6" i="4" s="1"/>
  <c r="D7" i="4"/>
  <c r="BG7" i="4" s="1"/>
  <c r="D8" i="4"/>
  <c r="BG8" i="4" s="1"/>
  <c r="D9" i="4"/>
  <c r="BG9" i="4" s="1"/>
  <c r="D10" i="4"/>
  <c r="BG10" i="4" s="1"/>
  <c r="D11" i="4"/>
  <c r="BG11" i="4" s="1"/>
  <c r="D12" i="4"/>
  <c r="BG12" i="4" s="1"/>
  <c r="D13" i="4"/>
  <c r="BG13" i="4" s="1"/>
  <c r="D14" i="4"/>
  <c r="BG14" i="4" s="1"/>
  <c r="D15" i="4"/>
  <c r="BG15" i="4" s="1"/>
  <c r="D16" i="4"/>
  <c r="BG16" i="4" s="1"/>
  <c r="D5" i="4"/>
  <c r="BG5" i="4" s="1"/>
  <c r="C6" i="4"/>
  <c r="BF6" i="4" s="1"/>
  <c r="C7" i="4"/>
  <c r="BF7" i="4" s="1"/>
  <c r="C8" i="4"/>
  <c r="BF8" i="4" s="1"/>
  <c r="C9" i="4"/>
  <c r="BF9" i="4" s="1"/>
  <c r="C10" i="4"/>
  <c r="BF10" i="4" s="1"/>
  <c r="C11" i="4"/>
  <c r="BF11" i="4" s="1"/>
  <c r="C12" i="4"/>
  <c r="BF12" i="4" s="1"/>
  <c r="C13" i="4"/>
  <c r="BF13" i="4" s="1"/>
  <c r="C14" i="4"/>
  <c r="BF14" i="4" s="1"/>
  <c r="C15" i="4"/>
  <c r="BF15" i="4" s="1"/>
  <c r="C16" i="4"/>
  <c r="BF16" i="4" s="1"/>
  <c r="C5" i="4"/>
  <c r="BF5" i="4" s="1"/>
  <c r="BG17" i="4" l="1"/>
  <c r="BH17" i="4"/>
  <c r="BF17" i="4"/>
  <c r="G53" i="4"/>
  <c r="B36" i="4"/>
  <c r="E36" i="4" l="1"/>
  <c r="AM36" i="4" s="1"/>
  <c r="C36" i="4"/>
  <c r="AK36" i="4" s="1"/>
  <c r="D36" i="4"/>
  <c r="AL36" i="4" s="1"/>
  <c r="U36" i="4" l="1"/>
  <c r="AO17" i="4"/>
  <c r="AJ17" i="4"/>
  <c r="AE17" i="4"/>
  <c r="U17" i="4"/>
  <c r="L17" i="4"/>
  <c r="B17" i="4"/>
  <c r="Z17" i="4"/>
  <c r="E17" i="4" l="1"/>
  <c r="D17" i="4"/>
  <c r="C17" i="4"/>
  <c r="Z36" i="4"/>
  <c r="AE36" i="4" s="1"/>
  <c r="AJ36" i="4" s="1"/>
</calcChain>
</file>

<file path=xl/sharedStrings.xml><?xml version="1.0" encoding="utf-8"?>
<sst xmlns="http://schemas.openxmlformats.org/spreadsheetml/2006/main" count="185" uniqueCount="39">
  <si>
    <t>начисленно</t>
  </si>
  <si>
    <t>оплачено</t>
  </si>
  <si>
    <t>% поступления</t>
  </si>
  <si>
    <t>услуги по сбору денежных средств</t>
  </si>
  <si>
    <t>итого</t>
  </si>
  <si>
    <t>Остаток (+), Перерасход (-)полученных средств на конец периода</t>
  </si>
  <si>
    <t>итого расход</t>
  </si>
  <si>
    <t>статья "Текущий ремонт"</t>
  </si>
  <si>
    <t>ООО "Восточно-сибирская инвестиционно-строительная компания</t>
  </si>
  <si>
    <t>период</t>
  </si>
  <si>
    <t>Остаток (+), Перерасход (-)полученных средств на начало периода</t>
  </si>
  <si>
    <t>Прочие</t>
  </si>
  <si>
    <t>статья "Содержание жилья, охрана общего имущетсва"</t>
  </si>
  <si>
    <t>г. Иркутск, ул. Трудовая 56/3, 56/2 56/1</t>
  </si>
  <si>
    <t>статья "Домофон"</t>
  </si>
  <si>
    <t>Итого</t>
  </si>
  <si>
    <t>обслуживание системы "Домофон</t>
  </si>
  <si>
    <t>итого начисленно</t>
  </si>
  <si>
    <t xml:space="preserve"> в т.ч. 56/1</t>
  </si>
  <si>
    <t xml:space="preserve"> в т.ч.56/2</t>
  </si>
  <si>
    <t xml:space="preserve"> в т.ч.56/3</t>
  </si>
  <si>
    <t>Итого оплачено</t>
  </si>
  <si>
    <t>Итого услуги по управлению многоквартирным домом</t>
  </si>
  <si>
    <t>Итого налоги</t>
  </si>
  <si>
    <t>Итого обслуживание лифтов</t>
  </si>
  <si>
    <t>Итого расход</t>
  </si>
  <si>
    <t xml:space="preserve"> в т.ч.6 Советская 80/1</t>
  </si>
  <si>
    <t xml:space="preserve"> в т.ч. Трудовая 56/1</t>
  </si>
  <si>
    <t xml:space="preserve"> в т.ч.Трудовая 56/2</t>
  </si>
  <si>
    <t xml:space="preserve"> в т.ч.Трудовая 56/3</t>
  </si>
  <si>
    <t>Отчет о поступлении и использовании средств по содержанию и ремонту многоквартирного дома за январь-декабрь 2017г</t>
  </si>
  <si>
    <t>Итого остаток (+), Перерасход (-)полученных средств на начало периода + остатки по статье ОДО на 31.12.2016</t>
  </si>
  <si>
    <t>Итого вывоз ТБО+снег полигон Спецавтохозяйство + Иртранском</t>
  </si>
  <si>
    <t>Итого услуги банка по сбору денежных средств</t>
  </si>
  <si>
    <t>Итого аренда + охрана офиса</t>
  </si>
  <si>
    <t>приобретение материалов, услуги</t>
  </si>
  <si>
    <t>статья "Установка системы видеонаблюдения"</t>
  </si>
  <si>
    <t>Приобретение материалов, услуги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</si>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</sst>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i/>
      <sz val="9"/>
      <name val="Calibri"/>
      <family val="2"/>
      <charset val="204"/>
      <scheme val="minor"/>
    </font>
    <font>
      <i/>
      <sz val="9"/>
      <name val="Arial"/>
      <family val="2"/>
    </font>
    <font>
      <sz val="9"/>
      <name val="Arial"/>
      <family val="2"/>
    </font>
    <font>
      <sz val="9"/>
      <name val="Calibri"/>
      <family val="2"/>
      <charset val="204"/>
      <scheme val="minor"/>
    </font>
    <font>
      <i/>
      <sz val="9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wrapText="1"/>
    </xf>
    <xf numFmtId="4" fontId="4" fillId="0" borderId="1" xfId="1" applyNumberFormat="1" applyFont="1" applyFill="1" applyBorder="1" applyAlignment="1">
      <alignment horizontal="right" vertical="top"/>
    </xf>
    <xf numFmtId="0" fontId="5" fillId="0" borderId="0" xfId="0" applyFont="1" applyFill="1"/>
    <xf numFmtId="0" fontId="5" fillId="0" borderId="1" xfId="0" applyFont="1" applyFill="1" applyBorder="1"/>
    <xf numFmtId="0" fontId="5" fillId="0" borderId="1" xfId="0" applyFont="1" applyFill="1" applyBorder="1" applyAlignment="1">
      <alignment wrapText="1"/>
    </xf>
    <xf numFmtId="17" fontId="5" fillId="0" borderId="1" xfId="0" applyNumberFormat="1" applyFont="1" applyFill="1" applyBorder="1"/>
    <xf numFmtId="2" fontId="2" fillId="0" borderId="1" xfId="0" applyNumberFormat="1" applyFont="1" applyFill="1" applyBorder="1"/>
    <xf numFmtId="4" fontId="6" fillId="0" borderId="1" xfId="1" applyNumberFormat="1" applyFont="1" applyFill="1" applyBorder="1" applyAlignment="1">
      <alignment horizontal="right" vertical="top"/>
    </xf>
    <xf numFmtId="2" fontId="5" fillId="0" borderId="1" xfId="0" applyNumberFormat="1" applyFont="1" applyFill="1" applyBorder="1"/>
    <xf numFmtId="0" fontId="2" fillId="0" borderId="1" xfId="0" applyFont="1" applyFill="1" applyBorder="1"/>
    <xf numFmtId="4" fontId="5" fillId="0" borderId="1" xfId="0" applyNumberFormat="1" applyFont="1" applyFill="1" applyBorder="1"/>
    <xf numFmtId="4" fontId="5" fillId="0" borderId="0" xfId="0" applyNumberFormat="1" applyFont="1" applyFill="1"/>
    <xf numFmtId="4" fontId="7" fillId="0" borderId="1" xfId="0" applyNumberFormat="1" applyFont="1" applyFill="1" applyBorder="1"/>
    <xf numFmtId="17" fontId="5" fillId="0" borderId="0" xfId="0" applyNumberFormat="1" applyFont="1" applyFill="1"/>
    <xf numFmtId="4" fontId="2" fillId="0" borderId="1" xfId="1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4" fontId="5" fillId="0" borderId="0" xfId="0" applyNumberFormat="1" applyFont="1" applyFill="1" applyAlignment="1"/>
    <xf numFmtId="0" fontId="7" fillId="0" borderId="0" xfId="0" applyFont="1" applyFill="1" applyAlignment="1"/>
    <xf numFmtId="4" fontId="2" fillId="0" borderId="1" xfId="0" applyNumberFormat="1" applyFont="1" applyFill="1" applyBorder="1"/>
    <xf numFmtId="4" fontId="2" fillId="0" borderId="0" xfId="0" applyNumberFormat="1" applyFont="1" applyFill="1" applyBorder="1"/>
    <xf numFmtId="4" fontId="5" fillId="0" borderId="0" xfId="0" applyNumberFormat="1" applyFont="1" applyFill="1" applyBorder="1"/>
    <xf numFmtId="4" fontId="3" fillId="0" borderId="1" xfId="1" applyNumberFormat="1" applyFont="1" applyFill="1" applyBorder="1" applyAlignment="1">
      <alignment horizontal="right" vertical="top"/>
    </xf>
    <xf numFmtId="1" fontId="5" fillId="0" borderId="1" xfId="0" applyNumberFormat="1" applyFont="1" applyFill="1" applyBorder="1"/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74"/>
  <sheetViews>
    <sheetView tabSelected="1" topLeftCell="A28" zoomScaleNormal="100" workbookViewId="0">
      <selection activeCell="A28" sqref="A1:XFD1048576"/>
    </sheetView>
  </sheetViews>
  <sheetFormatPr defaultColWidth="13.42578125" defaultRowHeight="12" x14ac:dyDescent="0.2"/>
  <cols>
    <col min="1" max="1" width="7.85546875" style="3" customWidth="1"/>
    <col min="2" max="2" width="10.42578125" style="3" customWidth="1"/>
    <col min="3" max="3" width="9.5703125" style="3" customWidth="1"/>
    <col min="4" max="4" width="10.42578125" style="3" customWidth="1"/>
    <col min="5" max="5" width="10.7109375" style="3" customWidth="1"/>
    <col min="6" max="6" width="9.5703125" style="3" customWidth="1"/>
    <col min="7" max="7" width="12.140625" style="3" customWidth="1"/>
    <col min="8" max="9" width="11.140625" style="3" customWidth="1"/>
    <col min="10" max="11" width="11.7109375" style="3" customWidth="1"/>
    <col min="12" max="12" width="11.140625" style="3" customWidth="1"/>
    <col min="13" max="13" width="12.42578125" style="3" customWidth="1"/>
    <col min="14" max="14" width="5.5703125" style="3" customWidth="1"/>
    <col min="15" max="15" width="12.140625" style="3" customWidth="1"/>
    <col min="16" max="16" width="5.42578125" style="3" customWidth="1"/>
    <col min="17" max="17" width="12" style="3" customWidth="1"/>
    <col min="18" max="18" width="5.5703125" style="3" customWidth="1"/>
    <col min="19" max="19" width="13.140625" style="3" customWidth="1"/>
    <col min="20" max="20" width="5.5703125" style="3" customWidth="1"/>
    <col min="21" max="21" width="11.7109375" style="3" customWidth="1"/>
    <col min="22" max="22" width="10.85546875" style="3" customWidth="1"/>
    <col min="23" max="23" width="10.42578125" style="3" customWidth="1"/>
    <col min="24" max="25" width="11.42578125" style="3" customWidth="1"/>
    <col min="26" max="26" width="13.42578125" style="3"/>
    <col min="27" max="27" width="10.42578125" style="3" customWidth="1"/>
    <col min="28" max="28" width="11.140625" style="3" customWidth="1"/>
    <col min="29" max="30" width="11.28515625" style="3" customWidth="1"/>
    <col min="31" max="31" width="9.7109375" style="3" customWidth="1"/>
    <col min="32" max="32" width="10.28515625" style="3" customWidth="1"/>
    <col min="33" max="33" width="10.42578125" style="3" customWidth="1"/>
    <col min="34" max="35" width="9.42578125" style="3" customWidth="1"/>
    <col min="36" max="36" width="10.42578125" style="3" customWidth="1"/>
    <col min="37" max="38" width="9.28515625" style="3" customWidth="1"/>
    <col min="39" max="39" width="9.5703125" style="3" customWidth="1"/>
    <col min="40" max="40" width="10.140625" style="3" customWidth="1"/>
    <col min="41" max="41" width="8.28515625" style="3" customWidth="1"/>
    <col min="42" max="42" width="10.140625" style="3" customWidth="1"/>
    <col min="43" max="43" width="11.140625" style="3" customWidth="1"/>
    <col min="44" max="45" width="10.5703125" style="3" customWidth="1"/>
    <col min="46" max="46" width="13.42578125" style="3"/>
    <col min="47" max="47" width="10.140625" style="3" customWidth="1"/>
    <col min="48" max="48" width="8.140625" style="3" customWidth="1"/>
    <col min="49" max="49" width="9" style="3" customWidth="1"/>
    <col min="50" max="50" width="9.5703125" style="3" customWidth="1"/>
    <col min="51" max="51" width="7.85546875" style="3" customWidth="1"/>
    <col min="52" max="52" width="10.7109375" style="3" customWidth="1"/>
    <col min="53" max="53" width="11.42578125" style="3" customWidth="1"/>
    <col min="54" max="54" width="11.7109375" style="3" customWidth="1"/>
    <col min="55" max="56" width="11.85546875" style="3" customWidth="1"/>
    <col min="57" max="57" width="14" style="3" customWidth="1"/>
    <col min="58" max="58" width="9.85546875" style="3" customWidth="1"/>
    <col min="59" max="59" width="10.85546875" style="3" customWidth="1"/>
    <col min="60" max="60" width="12" style="3" customWidth="1"/>
    <col min="61" max="61" width="11.7109375" style="3" customWidth="1"/>
    <col min="62" max="16384" width="13.42578125" style="3"/>
  </cols>
  <sheetData>
    <row r="1" spans="1:61" x14ac:dyDescent="0.2">
      <c r="G1" s="3" t="s">
        <v>30</v>
      </c>
    </row>
    <row r="2" spans="1:61" x14ac:dyDescent="0.2">
      <c r="A2" s="3" t="s">
        <v>13</v>
      </c>
      <c r="T2" s="3" t="s">
        <v>8</v>
      </c>
    </row>
    <row r="3" spans="1:61" x14ac:dyDescent="0.2">
      <c r="Z3" s="3" t="s">
        <v>12</v>
      </c>
    </row>
    <row r="4" spans="1:61" ht="143.25" customHeight="1" x14ac:dyDescent="0.2">
      <c r="A4" s="4" t="s">
        <v>9</v>
      </c>
      <c r="B4" s="5" t="s">
        <v>31</v>
      </c>
      <c r="C4" s="1" t="s">
        <v>27</v>
      </c>
      <c r="D4" s="1" t="s">
        <v>28</v>
      </c>
      <c r="E4" s="1" t="s">
        <v>29</v>
      </c>
      <c r="F4" s="1" t="s">
        <v>26</v>
      </c>
      <c r="G4" s="5" t="s">
        <v>17</v>
      </c>
      <c r="H4" s="1" t="s">
        <v>27</v>
      </c>
      <c r="I4" s="1" t="s">
        <v>28</v>
      </c>
      <c r="J4" s="1" t="s">
        <v>29</v>
      </c>
      <c r="K4" s="1" t="s">
        <v>26</v>
      </c>
      <c r="L4" s="5" t="s">
        <v>21</v>
      </c>
      <c r="M4" s="1" t="s">
        <v>18</v>
      </c>
      <c r="N4" s="5" t="s">
        <v>2</v>
      </c>
      <c r="O4" s="1" t="s">
        <v>19</v>
      </c>
      <c r="P4" s="5" t="s">
        <v>2</v>
      </c>
      <c r="Q4" s="1" t="s">
        <v>20</v>
      </c>
      <c r="R4" s="5" t="s">
        <v>2</v>
      </c>
      <c r="S4" s="1" t="s">
        <v>26</v>
      </c>
      <c r="T4" s="5" t="s">
        <v>2</v>
      </c>
      <c r="U4" s="5" t="s">
        <v>22</v>
      </c>
      <c r="V4" s="1" t="s">
        <v>27</v>
      </c>
      <c r="W4" s="1" t="s">
        <v>28</v>
      </c>
      <c r="X4" s="1" t="s">
        <v>29</v>
      </c>
      <c r="Y4" s="1" t="s">
        <v>26</v>
      </c>
      <c r="Z4" s="5" t="s">
        <v>23</v>
      </c>
      <c r="AA4" s="1" t="s">
        <v>27</v>
      </c>
      <c r="AB4" s="1" t="s">
        <v>28</v>
      </c>
      <c r="AC4" s="1" t="s">
        <v>29</v>
      </c>
      <c r="AD4" s="1" t="s">
        <v>26</v>
      </c>
      <c r="AE4" s="5" t="s">
        <v>34</v>
      </c>
      <c r="AF4" s="1" t="s">
        <v>27</v>
      </c>
      <c r="AG4" s="1" t="s">
        <v>28</v>
      </c>
      <c r="AH4" s="1" t="s">
        <v>29</v>
      </c>
      <c r="AI4" s="1" t="s">
        <v>26</v>
      </c>
      <c r="AJ4" s="5" t="s">
        <v>32</v>
      </c>
      <c r="AK4" s="1" t="s">
        <v>27</v>
      </c>
      <c r="AL4" s="1" t="s">
        <v>28</v>
      </c>
      <c r="AM4" s="1" t="s">
        <v>29</v>
      </c>
      <c r="AN4" s="1" t="s">
        <v>26</v>
      </c>
      <c r="AO4" s="5" t="s">
        <v>24</v>
      </c>
      <c r="AP4" s="1" t="s">
        <v>27</v>
      </c>
      <c r="AQ4" s="1" t="s">
        <v>28</v>
      </c>
      <c r="AR4" s="1" t="s">
        <v>29</v>
      </c>
      <c r="AS4" s="1" t="s">
        <v>26</v>
      </c>
      <c r="AT4" s="5" t="s">
        <v>11</v>
      </c>
      <c r="AU4" s="5" t="s">
        <v>33</v>
      </c>
      <c r="AV4" s="1" t="s">
        <v>27</v>
      </c>
      <c r="AW4" s="1" t="s">
        <v>28</v>
      </c>
      <c r="AX4" s="1" t="s">
        <v>29</v>
      </c>
      <c r="AY4" s="1" t="s">
        <v>26</v>
      </c>
      <c r="AZ4" s="5" t="s">
        <v>25</v>
      </c>
      <c r="BA4" s="1" t="s">
        <v>27</v>
      </c>
      <c r="BB4" s="1" t="s">
        <v>28</v>
      </c>
      <c r="BC4" s="1" t="s">
        <v>29</v>
      </c>
      <c r="BD4" s="1" t="s">
        <v>26</v>
      </c>
      <c r="BE4" s="5" t="s">
        <v>5</v>
      </c>
      <c r="BF4" s="1" t="s">
        <v>27</v>
      </c>
      <c r="BG4" s="1" t="s">
        <v>28</v>
      </c>
      <c r="BH4" s="1" t="s">
        <v>29</v>
      </c>
      <c r="BI4" s="1" t="s">
        <v>26</v>
      </c>
    </row>
    <row r="5" spans="1:61" x14ac:dyDescent="0.2">
      <c r="A5" s="6">
        <v>42736</v>
      </c>
      <c r="B5" s="4">
        <v>-722369.7</v>
      </c>
      <c r="C5" s="7">
        <f>B5*0.30458446</f>
        <v>-220022.58499486197</v>
      </c>
      <c r="D5" s="7">
        <f>B5*0.238258139</f>
        <v>-172110.46039198831</v>
      </c>
      <c r="E5" s="7">
        <f>B5*0.457157401</f>
        <v>-330236.6546131497</v>
      </c>
      <c r="F5" s="7">
        <v>0</v>
      </c>
      <c r="G5" s="2">
        <f>H5+I5+J5+K5</f>
        <v>817978.51</v>
      </c>
      <c r="H5" s="23">
        <v>252743.46</v>
      </c>
      <c r="I5" s="23">
        <v>196051.92</v>
      </c>
      <c r="J5" s="23">
        <v>369183.13</v>
      </c>
      <c r="K5" s="23">
        <v>0</v>
      </c>
      <c r="L5" s="2">
        <f>M5+O5+Q5+S5</f>
        <v>800862.8</v>
      </c>
      <c r="M5" s="8">
        <v>244356.91</v>
      </c>
      <c r="N5" s="8"/>
      <c r="O5" s="8">
        <v>192948.29</v>
      </c>
      <c r="P5" s="8"/>
      <c r="Q5" s="8">
        <v>363557.6</v>
      </c>
      <c r="R5" s="8"/>
      <c r="S5" s="8">
        <v>0</v>
      </c>
      <c r="T5" s="9"/>
      <c r="U5" s="24">
        <v>429964.5</v>
      </c>
      <c r="V5" s="7">
        <f>U5*0.316172381</f>
        <v>135942.89971047451</v>
      </c>
      <c r="W5" s="7">
        <f>U5*0.247468807</f>
        <v>106402.8018673515</v>
      </c>
      <c r="X5" s="7">
        <f>U5*0.436358812</f>
        <v>187618.798422174</v>
      </c>
      <c r="Y5" s="7"/>
      <c r="Z5" s="4">
        <v>109523.9</v>
      </c>
      <c r="AA5" s="9">
        <f>Z5*0.316172381</f>
        <v>34628.432239405898</v>
      </c>
      <c r="AB5" s="9">
        <f>Z5*0.247468807</f>
        <v>27103.7488709873</v>
      </c>
      <c r="AC5" s="9">
        <f>Z5*0.436358812</f>
        <v>47791.718889606796</v>
      </c>
      <c r="AD5" s="9"/>
      <c r="AE5" s="4">
        <v>93925</v>
      </c>
      <c r="AF5" s="7">
        <f>AE5*0.316172381</f>
        <v>29696.490885424999</v>
      </c>
      <c r="AG5" s="7">
        <f>AE5*0.247468807</f>
        <v>23243.507697475001</v>
      </c>
      <c r="AH5" s="7">
        <f>AE5*0.436358812</f>
        <v>40985.0014171</v>
      </c>
      <c r="AI5" s="7"/>
      <c r="AJ5" s="9">
        <f>AK5+AL5+AM5+AN5</f>
        <v>31771.61</v>
      </c>
      <c r="AK5" s="7">
        <f>20333.45*0.316172381</f>
        <v>6428.8753004444507</v>
      </c>
      <c r="AL5" s="7">
        <f>20333.45*0.247468807</f>
        <v>5031.8946136941504</v>
      </c>
      <c r="AM5" s="7">
        <f>20333.45*0.436358812</f>
        <v>8872.6800858614006</v>
      </c>
      <c r="AN5" s="10">
        <v>11438.16</v>
      </c>
      <c r="AO5" s="9">
        <f>AP5+AQ5+AR5+AS5</f>
        <v>72966.667000000001</v>
      </c>
      <c r="AP5" s="7">
        <f>72966.667*0.316172381</f>
        <v>23070.044839024129</v>
      </c>
      <c r="AQ5" s="7">
        <f>72966.667*0.247468807</f>
        <v>18056.974033256269</v>
      </c>
      <c r="AR5" s="7">
        <f>72966.667*0.436358812</f>
        <v>31839.648127719604</v>
      </c>
      <c r="AS5" s="7"/>
      <c r="AT5" s="4"/>
      <c r="AU5" s="9">
        <f>L5*2%</f>
        <v>16017.256000000001</v>
      </c>
      <c r="AV5" s="7">
        <f>AU5*0.243902109</f>
        <v>3906.6425187929044</v>
      </c>
      <c r="AW5" s="7">
        <f>AU5*0.190902709</f>
        <v>3057.7375611465045</v>
      </c>
      <c r="AX5" s="7">
        <f>AU5*0.336616482</f>
        <v>5391.6723660133921</v>
      </c>
      <c r="AY5" s="9">
        <f>AU5*0.2285787</f>
        <v>3661.2035540472002</v>
      </c>
      <c r="AZ5" s="9">
        <f>U5+Z5+AE5+AJ5+AO5+AU5</f>
        <v>754168.93300000008</v>
      </c>
      <c r="BA5" s="7">
        <f>V5+AA5+AF5+AK5+AP5+AV5</f>
        <v>233673.38549356692</v>
      </c>
      <c r="BB5" s="7">
        <f>W5+AB5+AG5+AL5+AQ5+AW5</f>
        <v>182896.66464391068</v>
      </c>
      <c r="BC5" s="7">
        <f>X5+AC5+AH5+AM5+AR5+AX5</f>
        <v>322499.5193084752</v>
      </c>
      <c r="BD5" s="7">
        <f>Y5+AD5+AI5+AN5+AS5+AY5</f>
        <v>15099.363554047201</v>
      </c>
      <c r="BE5" s="11">
        <f>L5-AZ5+B5</f>
        <v>-675675.83299999998</v>
      </c>
      <c r="BF5" s="7">
        <f>M5-BA5+C5</f>
        <v>-209339.06048842889</v>
      </c>
      <c r="BG5" s="7">
        <f>O5-BB5+D5</f>
        <v>-162058.83503589898</v>
      </c>
      <c r="BH5" s="7">
        <f>Q5-BC5+E5</f>
        <v>-289178.57392162492</v>
      </c>
      <c r="BI5" s="11">
        <f>S5-BD5+F5</f>
        <v>-15099.363554047201</v>
      </c>
    </row>
    <row r="6" spans="1:61" x14ac:dyDescent="0.2">
      <c r="A6" s="6">
        <v>42767</v>
      </c>
      <c r="B6" s="4">
        <v>-197167.52</v>
      </c>
      <c r="C6" s="7">
        <f t="shared" ref="C6:C17" si="0">B6*0.30458446</f>
        <v>-60054.1626087392</v>
      </c>
      <c r="D6" s="7">
        <f t="shared" ref="D6:D17" si="1">B6*0.238258139</f>
        <v>-46976.766386445277</v>
      </c>
      <c r="E6" s="7">
        <f t="shared" ref="E6:E17" si="2">B6*0.457157401</f>
        <v>-90136.59100481552</v>
      </c>
      <c r="F6" s="7">
        <v>0</v>
      </c>
      <c r="G6" s="2">
        <f t="shared" ref="G6:G16" si="3">H6+I6+J6+K6</f>
        <v>998486.01</v>
      </c>
      <c r="H6" s="23">
        <v>252743.46</v>
      </c>
      <c r="I6" s="23">
        <v>196051.92</v>
      </c>
      <c r="J6" s="23">
        <v>369183.13</v>
      </c>
      <c r="K6" s="23">
        <v>180507.5</v>
      </c>
      <c r="L6" s="2">
        <f t="shared" ref="L6:L16" si="4">M6+O6+Q6+S6</f>
        <v>800862.8</v>
      </c>
      <c r="M6" s="8">
        <v>244356.91</v>
      </c>
      <c r="N6" s="8"/>
      <c r="O6" s="8">
        <v>192948.29</v>
      </c>
      <c r="P6" s="8"/>
      <c r="Q6" s="8">
        <v>363557.6</v>
      </c>
      <c r="R6" s="8"/>
      <c r="S6" s="8">
        <v>0</v>
      </c>
      <c r="T6" s="9"/>
      <c r="U6" s="24">
        <v>479316.4</v>
      </c>
      <c r="V6" s="7">
        <f>472616.4*0.243902109</f>
        <v>115272.13670798761</v>
      </c>
      <c r="W6" s="7">
        <f>472616.4*0.190902709</f>
        <v>90223.751077827605</v>
      </c>
      <c r="X6" s="7">
        <f>472616.4*0.336616482</f>
        <v>159090.4699035048</v>
      </c>
      <c r="Y6" s="7">
        <f>(472616.4*0.2285787)+6700</f>
        <v>114730.04231068</v>
      </c>
      <c r="Z6" s="4">
        <v>113299.1</v>
      </c>
      <c r="AA6" s="9">
        <f>Z6*0.243902109</f>
        <v>27633.889437801903</v>
      </c>
      <c r="AB6" s="9">
        <f>Z6*0.190902709</f>
        <v>21629.105117261901</v>
      </c>
      <c r="AC6" s="9">
        <f>Z6*0.336616482</f>
        <v>38138.344455766201</v>
      </c>
      <c r="AD6" s="9">
        <f>Z6*0.2285787</f>
        <v>25897.760989170001</v>
      </c>
      <c r="AE6" s="4">
        <v>93925</v>
      </c>
      <c r="AF6" s="7">
        <f t="shared" ref="AF6:AF16" si="5">AE6*0.2439</f>
        <v>22908.307499999999</v>
      </c>
      <c r="AG6" s="7">
        <f t="shared" ref="AG6:AG16" si="6">AE6*0.1909</f>
        <v>17930.282499999998</v>
      </c>
      <c r="AH6" s="7">
        <f t="shared" ref="AH6:AH16" si="7">AE6*0.3366</f>
        <v>31615.155000000002</v>
      </c>
      <c r="AI6" s="7">
        <f t="shared" ref="AI6:AI16" si="8">AE6*0.2286</f>
        <v>21471.255000000001</v>
      </c>
      <c r="AJ6" s="9">
        <f t="shared" ref="AJ6:AJ16" si="9">AK6+AL6+AM6+AN6</f>
        <v>31771.61</v>
      </c>
      <c r="AK6" s="7">
        <f t="shared" ref="AK6:AK16" si="10">20333.45*0.316172381</f>
        <v>6428.8753004444507</v>
      </c>
      <c r="AL6" s="7">
        <f t="shared" ref="AL6:AL16" si="11">20333.45*0.247468807</f>
        <v>5031.8946136941504</v>
      </c>
      <c r="AM6" s="7">
        <f t="shared" ref="AM6:AM16" si="12">20333.45*0.436358812</f>
        <v>8872.6800858614006</v>
      </c>
      <c r="AN6" s="10">
        <v>11438.16</v>
      </c>
      <c r="AO6" s="9">
        <f t="shared" ref="AO6:AO16" si="13">AP6+AQ6+AR6+AS6</f>
        <v>84784.847000000009</v>
      </c>
      <c r="AP6" s="7">
        <f t="shared" ref="AP6:AP16" si="14">72966.667*0.316172381</f>
        <v>23070.044839024129</v>
      </c>
      <c r="AQ6" s="7">
        <f t="shared" ref="AQ6:AQ16" si="15">72966.667*0.247468807</f>
        <v>18056.974033256269</v>
      </c>
      <c r="AR6" s="7">
        <f t="shared" ref="AR6:AR16" si="16">72966.667*0.436358812</f>
        <v>31839.648127719604</v>
      </c>
      <c r="AS6" s="7">
        <v>11818.18</v>
      </c>
      <c r="AT6" s="4"/>
      <c r="AU6" s="9">
        <f t="shared" ref="AU6:AU16" si="17">L6*2%</f>
        <v>16017.256000000001</v>
      </c>
      <c r="AV6" s="7">
        <f t="shared" ref="AV6:AV16" si="18">AU6*0.243902109</f>
        <v>3906.6425187929044</v>
      </c>
      <c r="AW6" s="7">
        <f t="shared" ref="AW6:AW16" si="19">AU6*0.190902709</f>
        <v>3057.7375611465045</v>
      </c>
      <c r="AX6" s="7">
        <f t="shared" ref="AX6:AX16" si="20">AU6*0.336616482</f>
        <v>5391.6723660133921</v>
      </c>
      <c r="AY6" s="9">
        <f t="shared" ref="AY6:AY16" si="21">AU6*0.2285787</f>
        <v>3661.2035540472002</v>
      </c>
      <c r="AZ6" s="9">
        <f t="shared" ref="AZ6:AZ16" si="22">U6+Z6+AE6+AJ6+AO6+AU6</f>
        <v>819114.21299999999</v>
      </c>
      <c r="BA6" s="7">
        <f t="shared" ref="BA6:BA16" si="23">V6+AA6+AF6+AK6+AP6+AV6</f>
        <v>199219.89630405101</v>
      </c>
      <c r="BB6" s="7">
        <f t="shared" ref="BB6:BB16" si="24">W6+AB6+AG6+AL6+AQ6+AW6</f>
        <v>155929.74490318642</v>
      </c>
      <c r="BC6" s="7">
        <f t="shared" ref="BC6:BC16" si="25">X6+AC6+AH6+AM6+AR6+AX6</f>
        <v>274947.9699388654</v>
      </c>
      <c r="BD6" s="7">
        <f t="shared" ref="BD6:BD16" si="26">Y6+AD6+AI6+AN6+AS6+AY6</f>
        <v>189016.60185389721</v>
      </c>
      <c r="BE6" s="11">
        <f t="shared" ref="BE6:BE16" si="27">L6-AZ6+B6</f>
        <v>-215418.93299999993</v>
      </c>
      <c r="BF6" s="7">
        <f t="shared" ref="BF6:BF16" si="28">M6-BA6+C6</f>
        <v>-14917.14891279021</v>
      </c>
      <c r="BG6" s="7">
        <f t="shared" ref="BG6:BG16" si="29">O6-BB6+D6</f>
        <v>-9958.2212896316923</v>
      </c>
      <c r="BH6" s="7">
        <f t="shared" ref="BH6:BH16" si="30">Q6-BC6+E6</f>
        <v>-1526.9609436809405</v>
      </c>
      <c r="BI6" s="11">
        <f t="shared" ref="BI6:BI16" si="31">S6-BD6+F6</f>
        <v>-189016.60185389721</v>
      </c>
    </row>
    <row r="7" spans="1:61" x14ac:dyDescent="0.2">
      <c r="A7" s="6">
        <v>42795</v>
      </c>
      <c r="B7" s="4">
        <v>-44777.41</v>
      </c>
      <c r="C7" s="7">
        <f t="shared" si="0"/>
        <v>-13638.503245048601</v>
      </c>
      <c r="D7" s="7">
        <f t="shared" si="1"/>
        <v>-10668.582375839991</v>
      </c>
      <c r="E7" s="7">
        <f t="shared" si="2"/>
        <v>-20470.324379111411</v>
      </c>
      <c r="F7" s="7">
        <v>0</v>
      </c>
      <c r="G7" s="2">
        <f t="shared" si="3"/>
        <v>1012318.84</v>
      </c>
      <c r="H7" s="23">
        <v>252743.46</v>
      </c>
      <c r="I7" s="23">
        <v>196051.92</v>
      </c>
      <c r="J7" s="23">
        <v>369183.13</v>
      </c>
      <c r="K7" s="23">
        <v>194340.33</v>
      </c>
      <c r="L7" s="2">
        <f t="shared" si="4"/>
        <v>808492.8</v>
      </c>
      <c r="M7" s="8">
        <v>244356.91</v>
      </c>
      <c r="N7" s="8"/>
      <c r="O7" s="8">
        <v>192948.29</v>
      </c>
      <c r="P7" s="8"/>
      <c r="Q7" s="8">
        <v>363557.6</v>
      </c>
      <c r="R7" s="8"/>
      <c r="S7" s="8">
        <v>7630</v>
      </c>
      <c r="T7" s="9"/>
      <c r="U7" s="24">
        <v>484407.1</v>
      </c>
      <c r="V7" s="7">
        <f t="shared" ref="V7:V15" si="32">U7*0.243902109</f>
        <v>118147.9133045739</v>
      </c>
      <c r="W7" s="7">
        <f t="shared" ref="W7:W15" si="33">U7*0.190902709</f>
        <v>92474.627648833892</v>
      </c>
      <c r="X7" s="7">
        <f t="shared" ref="X7:X15" si="34">U7*0.336616482</f>
        <v>163059.41385782219</v>
      </c>
      <c r="Y7" s="7">
        <f t="shared" ref="Y7:Y15" si="35">U7*0.2285787</f>
        <v>110725.14518877</v>
      </c>
      <c r="Z7" s="4">
        <v>305368.8</v>
      </c>
      <c r="AA7" s="9">
        <f t="shared" ref="AA7:AA16" si="36">Z7*0.243902109</f>
        <v>74480.094342799202</v>
      </c>
      <c r="AB7" s="9">
        <f t="shared" ref="AB7:AB16" si="37">Z7*0.190902709</f>
        <v>58295.731164079196</v>
      </c>
      <c r="AC7" s="9">
        <f t="shared" ref="AC7:AC16" si="38">Z7*0.336616482</f>
        <v>102792.17116856159</v>
      </c>
      <c r="AD7" s="9">
        <f t="shared" ref="AD7:AD16" si="39">Z7*0.2285787</f>
        <v>69800.803324559995</v>
      </c>
      <c r="AE7" s="4">
        <v>93925</v>
      </c>
      <c r="AF7" s="7">
        <f t="shared" si="5"/>
        <v>22908.307499999999</v>
      </c>
      <c r="AG7" s="7">
        <f t="shared" si="6"/>
        <v>17930.282499999998</v>
      </c>
      <c r="AH7" s="7">
        <f t="shared" si="7"/>
        <v>31615.155000000002</v>
      </c>
      <c r="AI7" s="7">
        <f t="shared" si="8"/>
        <v>21471.255000000001</v>
      </c>
      <c r="AJ7" s="9">
        <f t="shared" si="9"/>
        <v>31771.61</v>
      </c>
      <c r="AK7" s="7">
        <f t="shared" si="10"/>
        <v>6428.8753004444507</v>
      </c>
      <c r="AL7" s="7">
        <f t="shared" si="11"/>
        <v>5031.8946136941504</v>
      </c>
      <c r="AM7" s="7">
        <f t="shared" si="12"/>
        <v>8872.6800858614006</v>
      </c>
      <c r="AN7" s="10">
        <v>11438.16</v>
      </c>
      <c r="AO7" s="9">
        <f t="shared" si="13"/>
        <v>84784.847000000009</v>
      </c>
      <c r="AP7" s="7">
        <f t="shared" si="14"/>
        <v>23070.044839024129</v>
      </c>
      <c r="AQ7" s="7">
        <f t="shared" si="15"/>
        <v>18056.974033256269</v>
      </c>
      <c r="AR7" s="7">
        <f t="shared" si="16"/>
        <v>31839.648127719604</v>
      </c>
      <c r="AS7" s="7">
        <v>11818.18</v>
      </c>
      <c r="AT7" s="4"/>
      <c r="AU7" s="9">
        <f t="shared" si="17"/>
        <v>16169.856000000002</v>
      </c>
      <c r="AV7" s="7">
        <f t="shared" si="18"/>
        <v>3943.8619806263046</v>
      </c>
      <c r="AW7" s="7">
        <f t="shared" si="19"/>
        <v>3086.8693145399043</v>
      </c>
      <c r="AX7" s="7">
        <f t="shared" si="20"/>
        <v>5443.0400411665923</v>
      </c>
      <c r="AY7" s="9">
        <f t="shared" si="21"/>
        <v>3696.0846636672004</v>
      </c>
      <c r="AZ7" s="9">
        <f t="shared" si="22"/>
        <v>1016427.2129999999</v>
      </c>
      <c r="BA7" s="7">
        <f t="shared" si="23"/>
        <v>248979.09726746799</v>
      </c>
      <c r="BB7" s="7">
        <f t="shared" si="24"/>
        <v>194876.37927440341</v>
      </c>
      <c r="BC7" s="7">
        <f t="shared" si="25"/>
        <v>343622.10828113137</v>
      </c>
      <c r="BD7" s="7">
        <f t="shared" si="26"/>
        <v>228949.62817699718</v>
      </c>
      <c r="BE7" s="11">
        <f t="shared" si="27"/>
        <v>-252711.82299999983</v>
      </c>
      <c r="BF7" s="7">
        <f t="shared" si="28"/>
        <v>-18260.690512516594</v>
      </c>
      <c r="BG7" s="7">
        <f t="shared" si="29"/>
        <v>-12596.671650243397</v>
      </c>
      <c r="BH7" s="7">
        <f t="shared" si="30"/>
        <v>-534.83266024280238</v>
      </c>
      <c r="BI7" s="11">
        <f t="shared" si="31"/>
        <v>-221319.62817699718</v>
      </c>
    </row>
    <row r="8" spans="1:61" x14ac:dyDescent="0.2">
      <c r="A8" s="6">
        <v>42826</v>
      </c>
      <c r="B8" s="4">
        <v>-237577.27</v>
      </c>
      <c r="C8" s="7">
        <f t="shared" si="0"/>
        <v>-72362.344491224198</v>
      </c>
      <c r="D8" s="7">
        <f t="shared" si="1"/>
        <v>-56604.718218900533</v>
      </c>
      <c r="E8" s="7">
        <f t="shared" si="2"/>
        <v>-108610.20728987527</v>
      </c>
      <c r="F8" s="7">
        <v>0</v>
      </c>
      <c r="G8" s="2">
        <f t="shared" si="3"/>
        <v>1054168.83</v>
      </c>
      <c r="H8" s="23">
        <v>252743.46</v>
      </c>
      <c r="I8" s="23">
        <v>196051.92</v>
      </c>
      <c r="J8" s="23">
        <v>369183.13</v>
      </c>
      <c r="K8" s="23">
        <v>236190.32</v>
      </c>
      <c r="L8" s="2">
        <f t="shared" si="4"/>
        <v>841365.8</v>
      </c>
      <c r="M8" s="8">
        <v>244356.91</v>
      </c>
      <c r="N8" s="8"/>
      <c r="O8" s="8">
        <v>192948.29</v>
      </c>
      <c r="P8" s="8"/>
      <c r="Q8" s="8">
        <v>363557.6</v>
      </c>
      <c r="R8" s="8"/>
      <c r="S8" s="8">
        <v>40503</v>
      </c>
      <c r="T8" s="9"/>
      <c r="U8" s="24">
        <v>503467.5</v>
      </c>
      <c r="V8" s="7">
        <f t="shared" si="32"/>
        <v>122796.7850629575</v>
      </c>
      <c r="W8" s="7">
        <f t="shared" si="33"/>
        <v>96113.309643457498</v>
      </c>
      <c r="X8" s="7">
        <f t="shared" si="34"/>
        <v>169475.45865133501</v>
      </c>
      <c r="Y8" s="7">
        <f t="shared" si="35"/>
        <v>115081.94664225</v>
      </c>
      <c r="Z8" s="4">
        <v>126538.6</v>
      </c>
      <c r="AA8" s="9">
        <f t="shared" si="36"/>
        <v>30863.031409907402</v>
      </c>
      <c r="AB8" s="9">
        <f t="shared" si="37"/>
        <v>24156.561533067401</v>
      </c>
      <c r="AC8" s="9">
        <f t="shared" si="38"/>
        <v>42594.978369205201</v>
      </c>
      <c r="AD8" s="9">
        <f t="shared" si="39"/>
        <v>28924.028687820002</v>
      </c>
      <c r="AE8" s="4">
        <v>93925</v>
      </c>
      <c r="AF8" s="7">
        <f t="shared" si="5"/>
        <v>22908.307499999999</v>
      </c>
      <c r="AG8" s="7">
        <f t="shared" si="6"/>
        <v>17930.282499999998</v>
      </c>
      <c r="AH8" s="7">
        <f t="shared" si="7"/>
        <v>31615.155000000002</v>
      </c>
      <c r="AI8" s="7">
        <f t="shared" si="8"/>
        <v>21471.255000000001</v>
      </c>
      <c r="AJ8" s="9">
        <f t="shared" si="9"/>
        <v>31771.61</v>
      </c>
      <c r="AK8" s="7">
        <f t="shared" si="10"/>
        <v>6428.8753004444507</v>
      </c>
      <c r="AL8" s="7">
        <f t="shared" si="11"/>
        <v>5031.8946136941504</v>
      </c>
      <c r="AM8" s="7">
        <f t="shared" si="12"/>
        <v>8872.6800858614006</v>
      </c>
      <c r="AN8" s="10">
        <v>11438.16</v>
      </c>
      <c r="AO8" s="9">
        <f t="shared" si="13"/>
        <v>84784.847000000009</v>
      </c>
      <c r="AP8" s="7">
        <f t="shared" si="14"/>
        <v>23070.044839024129</v>
      </c>
      <c r="AQ8" s="7">
        <f t="shared" si="15"/>
        <v>18056.974033256269</v>
      </c>
      <c r="AR8" s="7">
        <f t="shared" si="16"/>
        <v>31839.648127719604</v>
      </c>
      <c r="AS8" s="7">
        <v>11818.18</v>
      </c>
      <c r="AT8" s="4"/>
      <c r="AU8" s="9">
        <f t="shared" si="17"/>
        <v>16827.316000000003</v>
      </c>
      <c r="AV8" s="7">
        <f t="shared" si="18"/>
        <v>4104.2178612094449</v>
      </c>
      <c r="AW8" s="7">
        <f t="shared" si="19"/>
        <v>3212.3802095990445</v>
      </c>
      <c r="AX8" s="7">
        <f t="shared" si="20"/>
        <v>5664.3519134223125</v>
      </c>
      <c r="AY8" s="9">
        <f t="shared" si="21"/>
        <v>3846.3660157692007</v>
      </c>
      <c r="AZ8" s="9">
        <f t="shared" si="22"/>
        <v>857314.87300000002</v>
      </c>
      <c r="BA8" s="7">
        <f t="shared" si="23"/>
        <v>210171.26197354292</v>
      </c>
      <c r="BB8" s="7">
        <f t="shared" si="24"/>
        <v>164501.40253307435</v>
      </c>
      <c r="BC8" s="7">
        <f t="shared" si="25"/>
        <v>290062.2721475435</v>
      </c>
      <c r="BD8" s="7">
        <f t="shared" si="26"/>
        <v>192579.9363458392</v>
      </c>
      <c r="BE8" s="11">
        <f t="shared" si="27"/>
        <v>-253526.34299999996</v>
      </c>
      <c r="BF8" s="7">
        <f t="shared" si="28"/>
        <v>-38176.696464767112</v>
      </c>
      <c r="BG8" s="7">
        <f t="shared" si="29"/>
        <v>-28157.830751974871</v>
      </c>
      <c r="BH8" s="7">
        <f t="shared" si="30"/>
        <v>-35114.879437418786</v>
      </c>
      <c r="BI8" s="11">
        <f t="shared" si="31"/>
        <v>-152076.9363458392</v>
      </c>
    </row>
    <row r="9" spans="1:61" x14ac:dyDescent="0.2">
      <c r="A9" s="6">
        <v>42856</v>
      </c>
      <c r="B9" s="4">
        <v>-402370.36</v>
      </c>
      <c r="C9" s="7">
        <f t="shared" si="0"/>
        <v>-122555.7588206056</v>
      </c>
      <c r="D9" s="7">
        <f t="shared" si="1"/>
        <v>-95868.013162360046</v>
      </c>
      <c r="E9" s="7">
        <f t="shared" si="2"/>
        <v>-183946.58801703437</v>
      </c>
      <c r="F9" s="7">
        <v>0</v>
      </c>
      <c r="G9" s="2">
        <f t="shared" si="3"/>
        <v>1054168.83</v>
      </c>
      <c r="H9" s="23">
        <v>252743.46</v>
      </c>
      <c r="I9" s="23">
        <v>196051.92</v>
      </c>
      <c r="J9" s="23">
        <v>369183.13</v>
      </c>
      <c r="K9" s="23">
        <v>236190.32</v>
      </c>
      <c r="L9" s="2">
        <f t="shared" si="4"/>
        <v>938074.8</v>
      </c>
      <c r="M9" s="8">
        <v>244356.91</v>
      </c>
      <c r="N9" s="8"/>
      <c r="O9" s="8">
        <v>192948.29</v>
      </c>
      <c r="P9" s="8"/>
      <c r="Q9" s="8">
        <v>363557.6</v>
      </c>
      <c r="R9" s="8"/>
      <c r="S9" s="8">
        <v>137212</v>
      </c>
      <c r="T9" s="9"/>
      <c r="U9" s="24">
        <v>492265.7</v>
      </c>
      <c r="V9" s="7">
        <f t="shared" si="32"/>
        <v>120064.64241836131</v>
      </c>
      <c r="W9" s="7">
        <f t="shared" si="33"/>
        <v>93974.855677781306</v>
      </c>
      <c r="X9" s="7">
        <f t="shared" si="34"/>
        <v>165704.74814326741</v>
      </c>
      <c r="Y9" s="7">
        <f t="shared" si="35"/>
        <v>112521.45376059</v>
      </c>
      <c r="Z9" s="4">
        <v>127256.3</v>
      </c>
      <c r="AA9" s="9">
        <f t="shared" si="36"/>
        <v>31038.0799535367</v>
      </c>
      <c r="AB9" s="9">
        <f t="shared" si="37"/>
        <v>24293.5724073167</v>
      </c>
      <c r="AC9" s="9">
        <f t="shared" si="38"/>
        <v>42836.568018336598</v>
      </c>
      <c r="AD9" s="9">
        <f t="shared" si="39"/>
        <v>29088.07962081</v>
      </c>
      <c r="AE9" s="4">
        <v>93925</v>
      </c>
      <c r="AF9" s="7">
        <f t="shared" si="5"/>
        <v>22908.307499999999</v>
      </c>
      <c r="AG9" s="7">
        <f t="shared" si="6"/>
        <v>17930.282499999998</v>
      </c>
      <c r="AH9" s="7">
        <f t="shared" si="7"/>
        <v>31615.155000000002</v>
      </c>
      <c r="AI9" s="7">
        <f t="shared" si="8"/>
        <v>21471.255000000001</v>
      </c>
      <c r="AJ9" s="9">
        <f t="shared" si="9"/>
        <v>31771.61</v>
      </c>
      <c r="AK9" s="7">
        <f t="shared" si="10"/>
        <v>6428.8753004444507</v>
      </c>
      <c r="AL9" s="7">
        <f t="shared" si="11"/>
        <v>5031.8946136941504</v>
      </c>
      <c r="AM9" s="7">
        <f t="shared" si="12"/>
        <v>8872.6800858614006</v>
      </c>
      <c r="AN9" s="10">
        <v>11438.16</v>
      </c>
      <c r="AO9" s="9">
        <f t="shared" si="13"/>
        <v>84784.847000000009</v>
      </c>
      <c r="AP9" s="7">
        <f t="shared" si="14"/>
        <v>23070.044839024129</v>
      </c>
      <c r="AQ9" s="7">
        <f t="shared" si="15"/>
        <v>18056.974033256269</v>
      </c>
      <c r="AR9" s="7">
        <f t="shared" si="16"/>
        <v>31839.648127719604</v>
      </c>
      <c r="AS9" s="7">
        <v>11818.18</v>
      </c>
      <c r="AT9" s="4"/>
      <c r="AU9" s="9">
        <f t="shared" si="17"/>
        <v>18761.496000000003</v>
      </c>
      <c r="AV9" s="7">
        <f t="shared" si="18"/>
        <v>4575.9684423950648</v>
      </c>
      <c r="AW9" s="7">
        <f t="shared" si="19"/>
        <v>3581.6204112926648</v>
      </c>
      <c r="AX9" s="7">
        <f t="shared" si="20"/>
        <v>6315.4287805770728</v>
      </c>
      <c r="AY9" s="9">
        <f t="shared" si="21"/>
        <v>4288.4783657352009</v>
      </c>
      <c r="AZ9" s="9">
        <f t="shared" si="22"/>
        <v>848764.95299999998</v>
      </c>
      <c r="BA9" s="7">
        <f t="shared" si="23"/>
        <v>208085.91845376167</v>
      </c>
      <c r="BB9" s="7">
        <f t="shared" si="24"/>
        <v>162869.1996433411</v>
      </c>
      <c r="BC9" s="7">
        <f t="shared" si="25"/>
        <v>287184.22815576207</v>
      </c>
      <c r="BD9" s="7">
        <f t="shared" si="26"/>
        <v>190625.6067471352</v>
      </c>
      <c r="BE9" s="11">
        <f t="shared" si="27"/>
        <v>-313060.51299999992</v>
      </c>
      <c r="BF9" s="7">
        <f t="shared" si="28"/>
        <v>-86284.767274367259</v>
      </c>
      <c r="BG9" s="7">
        <f t="shared" si="29"/>
        <v>-65788.922805701135</v>
      </c>
      <c r="BH9" s="7">
        <f t="shared" si="30"/>
        <v>-107573.21617279647</v>
      </c>
      <c r="BI9" s="11">
        <f t="shared" si="31"/>
        <v>-53413.6067471352</v>
      </c>
    </row>
    <row r="10" spans="1:61" x14ac:dyDescent="0.2">
      <c r="A10" s="6">
        <v>42887</v>
      </c>
      <c r="B10" s="4">
        <v>100873.18</v>
      </c>
      <c r="C10" s="7">
        <f t="shared" si="0"/>
        <v>30724.403058782798</v>
      </c>
      <c r="D10" s="7">
        <f t="shared" si="1"/>
        <v>24033.856141812019</v>
      </c>
      <c r="E10" s="7">
        <f t="shared" si="2"/>
        <v>46114.920799405176</v>
      </c>
      <c r="F10" s="7">
        <v>0</v>
      </c>
      <c r="G10" s="2">
        <f t="shared" si="3"/>
        <v>1054168.83</v>
      </c>
      <c r="H10" s="23">
        <v>252743.46</v>
      </c>
      <c r="I10" s="23">
        <v>196051.92</v>
      </c>
      <c r="J10" s="23">
        <v>369183.13</v>
      </c>
      <c r="K10" s="23">
        <v>236190.32</v>
      </c>
      <c r="L10" s="2">
        <f t="shared" si="4"/>
        <v>939925.39</v>
      </c>
      <c r="M10" s="8">
        <v>244356.91</v>
      </c>
      <c r="N10" s="8"/>
      <c r="O10" s="8">
        <v>192948.29</v>
      </c>
      <c r="P10" s="8"/>
      <c r="Q10" s="8">
        <v>363557.6</v>
      </c>
      <c r="R10" s="8"/>
      <c r="S10" s="8">
        <v>139062.59</v>
      </c>
      <c r="T10" s="9"/>
      <c r="U10" s="24">
        <v>576805.1</v>
      </c>
      <c r="V10" s="7">
        <f t="shared" si="32"/>
        <v>140683.9803719559</v>
      </c>
      <c r="W10" s="7">
        <f t="shared" si="33"/>
        <v>110113.65615501589</v>
      </c>
      <c r="X10" s="7">
        <f t="shared" si="34"/>
        <v>194162.10356165818</v>
      </c>
      <c r="Y10" s="7">
        <f t="shared" si="35"/>
        <v>131845.35991137</v>
      </c>
      <c r="Z10" s="4">
        <v>136849.4</v>
      </c>
      <c r="AA10" s="9">
        <f t="shared" si="36"/>
        <v>33377.857275384602</v>
      </c>
      <c r="AB10" s="9">
        <f t="shared" si="37"/>
        <v>26124.921185024599</v>
      </c>
      <c r="AC10" s="9">
        <f t="shared" si="38"/>
        <v>46065.763591810799</v>
      </c>
      <c r="AD10" s="9">
        <f t="shared" si="39"/>
        <v>31280.857947779998</v>
      </c>
      <c r="AE10" s="4">
        <v>93925</v>
      </c>
      <c r="AF10" s="7">
        <f t="shared" si="5"/>
        <v>22908.307499999999</v>
      </c>
      <c r="AG10" s="7">
        <f t="shared" si="6"/>
        <v>17930.282499999998</v>
      </c>
      <c r="AH10" s="7">
        <f t="shared" si="7"/>
        <v>31615.155000000002</v>
      </c>
      <c r="AI10" s="7">
        <f t="shared" si="8"/>
        <v>21471.255000000001</v>
      </c>
      <c r="AJ10" s="9">
        <f t="shared" si="9"/>
        <v>31771.61</v>
      </c>
      <c r="AK10" s="7">
        <f t="shared" si="10"/>
        <v>6428.8753004444507</v>
      </c>
      <c r="AL10" s="7">
        <f t="shared" si="11"/>
        <v>5031.8946136941504</v>
      </c>
      <c r="AM10" s="7">
        <f t="shared" si="12"/>
        <v>8872.6800858614006</v>
      </c>
      <c r="AN10" s="10">
        <v>11438.16</v>
      </c>
      <c r="AO10" s="9">
        <f t="shared" si="13"/>
        <v>84784.847000000009</v>
      </c>
      <c r="AP10" s="7">
        <f t="shared" si="14"/>
        <v>23070.044839024129</v>
      </c>
      <c r="AQ10" s="7">
        <f t="shared" si="15"/>
        <v>18056.974033256269</v>
      </c>
      <c r="AR10" s="7">
        <f t="shared" si="16"/>
        <v>31839.648127719604</v>
      </c>
      <c r="AS10" s="7">
        <v>11818.18</v>
      </c>
      <c r="AT10" s="4"/>
      <c r="AU10" s="9">
        <f t="shared" si="17"/>
        <v>18798.507799999999</v>
      </c>
      <c r="AV10" s="7">
        <f t="shared" si="18"/>
        <v>4584.9956984729506</v>
      </c>
      <c r="AW10" s="7">
        <f t="shared" si="19"/>
        <v>3588.6860641776302</v>
      </c>
      <c r="AX10" s="7">
        <f t="shared" si="20"/>
        <v>6327.8875624855591</v>
      </c>
      <c r="AY10" s="9">
        <f t="shared" si="21"/>
        <v>4296.9384748638595</v>
      </c>
      <c r="AZ10" s="9">
        <f t="shared" si="22"/>
        <v>942934.46479999996</v>
      </c>
      <c r="BA10" s="7">
        <f t="shared" si="23"/>
        <v>231054.06098528203</v>
      </c>
      <c r="BB10" s="7">
        <f t="shared" si="24"/>
        <v>180846.41455116853</v>
      </c>
      <c r="BC10" s="7">
        <f t="shared" si="25"/>
        <v>318883.23792953556</v>
      </c>
      <c r="BD10" s="7">
        <f t="shared" si="26"/>
        <v>212150.75133401385</v>
      </c>
      <c r="BE10" s="11">
        <f t="shared" si="27"/>
        <v>97864.105200000049</v>
      </c>
      <c r="BF10" s="7">
        <f t="shared" si="28"/>
        <v>44027.252073500771</v>
      </c>
      <c r="BG10" s="7">
        <f t="shared" si="29"/>
        <v>36135.731590643496</v>
      </c>
      <c r="BH10" s="7">
        <f t="shared" si="30"/>
        <v>90789.282869869581</v>
      </c>
      <c r="BI10" s="11">
        <f t="shared" si="31"/>
        <v>-73088.161334013857</v>
      </c>
    </row>
    <row r="11" spans="1:61" x14ac:dyDescent="0.2">
      <c r="A11" s="6">
        <v>42917</v>
      </c>
      <c r="B11" s="4">
        <v>-12264.83</v>
      </c>
      <c r="C11" s="7">
        <f t="shared" si="0"/>
        <v>-3735.6766225418</v>
      </c>
      <c r="D11" s="7">
        <f t="shared" si="1"/>
        <v>-2922.19557095137</v>
      </c>
      <c r="E11" s="7">
        <f t="shared" si="2"/>
        <v>-5606.9578065068299</v>
      </c>
      <c r="F11" s="7">
        <v>0</v>
      </c>
      <c r="G11" s="2">
        <f t="shared" si="3"/>
        <v>1054168.83</v>
      </c>
      <c r="H11" s="23">
        <v>252743.46</v>
      </c>
      <c r="I11" s="23">
        <v>196051.92</v>
      </c>
      <c r="J11" s="23">
        <v>369183.13</v>
      </c>
      <c r="K11" s="23">
        <v>236190.32</v>
      </c>
      <c r="L11" s="2">
        <f t="shared" si="4"/>
        <v>939925.39</v>
      </c>
      <c r="M11" s="8">
        <v>244356.91</v>
      </c>
      <c r="N11" s="8"/>
      <c r="O11" s="8">
        <v>192948.29</v>
      </c>
      <c r="P11" s="8"/>
      <c r="Q11" s="8">
        <v>363557.6</v>
      </c>
      <c r="R11" s="8"/>
      <c r="S11" s="8">
        <v>139062.59</v>
      </c>
      <c r="T11" s="9"/>
      <c r="U11" s="24">
        <v>641189</v>
      </c>
      <c r="V11" s="7">
        <f t="shared" si="32"/>
        <v>156387.34936760101</v>
      </c>
      <c r="W11" s="7">
        <f t="shared" si="33"/>
        <v>122404.717081001</v>
      </c>
      <c r="X11" s="7">
        <f t="shared" si="34"/>
        <v>215834.78547709799</v>
      </c>
      <c r="Y11" s="7">
        <f t="shared" si="35"/>
        <v>146562.1480743</v>
      </c>
      <c r="Z11" s="4">
        <v>130605.7</v>
      </c>
      <c r="AA11" s="9">
        <f t="shared" si="36"/>
        <v>31855.005677421301</v>
      </c>
      <c r="AB11" s="9">
        <f t="shared" si="37"/>
        <v>24932.981940841299</v>
      </c>
      <c r="AC11" s="9">
        <f t="shared" si="38"/>
        <v>43964.031263147401</v>
      </c>
      <c r="AD11" s="9">
        <f t="shared" si="39"/>
        <v>29853.681118590001</v>
      </c>
      <c r="AE11" s="4">
        <v>93925</v>
      </c>
      <c r="AF11" s="7">
        <f t="shared" si="5"/>
        <v>22908.307499999999</v>
      </c>
      <c r="AG11" s="7">
        <f t="shared" si="6"/>
        <v>17930.282499999998</v>
      </c>
      <c r="AH11" s="7">
        <f t="shared" si="7"/>
        <v>31615.155000000002</v>
      </c>
      <c r="AI11" s="7">
        <f t="shared" si="8"/>
        <v>21471.255000000001</v>
      </c>
      <c r="AJ11" s="9">
        <f t="shared" si="9"/>
        <v>31771.61</v>
      </c>
      <c r="AK11" s="7">
        <f t="shared" si="10"/>
        <v>6428.8753004444507</v>
      </c>
      <c r="AL11" s="7">
        <f t="shared" si="11"/>
        <v>5031.8946136941504</v>
      </c>
      <c r="AM11" s="7">
        <f t="shared" si="12"/>
        <v>8872.6800858614006</v>
      </c>
      <c r="AN11" s="10">
        <v>11438.16</v>
      </c>
      <c r="AO11" s="9">
        <f t="shared" si="13"/>
        <v>84784.847000000009</v>
      </c>
      <c r="AP11" s="7">
        <f t="shared" si="14"/>
        <v>23070.044839024129</v>
      </c>
      <c r="AQ11" s="7">
        <f t="shared" si="15"/>
        <v>18056.974033256269</v>
      </c>
      <c r="AR11" s="7">
        <f t="shared" si="16"/>
        <v>31839.648127719604</v>
      </c>
      <c r="AS11" s="7">
        <v>11818.18</v>
      </c>
      <c r="AT11" s="4"/>
      <c r="AU11" s="9">
        <f t="shared" si="17"/>
        <v>18798.507799999999</v>
      </c>
      <c r="AV11" s="7">
        <f t="shared" si="18"/>
        <v>4584.9956984729506</v>
      </c>
      <c r="AW11" s="7">
        <f t="shared" si="19"/>
        <v>3588.6860641776302</v>
      </c>
      <c r="AX11" s="7">
        <f t="shared" si="20"/>
        <v>6327.8875624855591</v>
      </c>
      <c r="AY11" s="9">
        <f t="shared" si="21"/>
        <v>4296.9384748638595</v>
      </c>
      <c r="AZ11" s="9">
        <f t="shared" si="22"/>
        <v>1001074.6647999999</v>
      </c>
      <c r="BA11" s="7">
        <f t="shared" si="23"/>
        <v>245234.57838296387</v>
      </c>
      <c r="BB11" s="7">
        <f t="shared" si="24"/>
        <v>191945.53623297033</v>
      </c>
      <c r="BC11" s="7">
        <f t="shared" si="25"/>
        <v>338454.187516312</v>
      </c>
      <c r="BD11" s="7">
        <f t="shared" si="26"/>
        <v>225440.36266775386</v>
      </c>
      <c r="BE11" s="11">
        <f t="shared" si="27"/>
        <v>-73414.104799999899</v>
      </c>
      <c r="BF11" s="7">
        <f t="shared" si="28"/>
        <v>-4613.3450055056637</v>
      </c>
      <c r="BG11" s="7">
        <f t="shared" si="29"/>
        <v>-1919.4418039216966</v>
      </c>
      <c r="BH11" s="7">
        <f t="shared" si="30"/>
        <v>19496.454677181147</v>
      </c>
      <c r="BI11" s="11">
        <f t="shared" si="31"/>
        <v>-86377.772667753859</v>
      </c>
    </row>
    <row r="12" spans="1:61" x14ac:dyDescent="0.2">
      <c r="A12" s="6">
        <v>42948</v>
      </c>
      <c r="B12" s="4">
        <v>-69841.179999999993</v>
      </c>
      <c r="C12" s="7">
        <f t="shared" si="0"/>
        <v>-21272.538096062799</v>
      </c>
      <c r="D12" s="7">
        <f t="shared" si="1"/>
        <v>-16640.22957236402</v>
      </c>
      <c r="E12" s="7">
        <f t="shared" si="2"/>
        <v>-31928.412331573178</v>
      </c>
      <c r="F12" s="7">
        <v>0</v>
      </c>
      <c r="G12" s="2">
        <f t="shared" si="3"/>
        <v>1054168.83</v>
      </c>
      <c r="H12" s="23">
        <v>252743.46</v>
      </c>
      <c r="I12" s="23">
        <v>196051.92</v>
      </c>
      <c r="J12" s="23">
        <v>369183.13</v>
      </c>
      <c r="K12" s="23">
        <v>236190.32</v>
      </c>
      <c r="L12" s="2">
        <f t="shared" si="4"/>
        <v>939925.39</v>
      </c>
      <c r="M12" s="8">
        <v>244356.91</v>
      </c>
      <c r="N12" s="8"/>
      <c r="O12" s="8">
        <v>192948.29</v>
      </c>
      <c r="P12" s="8"/>
      <c r="Q12" s="8">
        <v>363557.6</v>
      </c>
      <c r="R12" s="8"/>
      <c r="S12" s="8">
        <v>139062.59</v>
      </c>
      <c r="T12" s="9"/>
      <c r="U12" s="24">
        <v>568793.9</v>
      </c>
      <c r="V12" s="7">
        <f t="shared" si="32"/>
        <v>138730.0317963351</v>
      </c>
      <c r="W12" s="7">
        <f t="shared" si="33"/>
        <v>108584.2963726751</v>
      </c>
      <c r="X12" s="7">
        <f t="shared" si="34"/>
        <v>191465.4016010598</v>
      </c>
      <c r="Y12" s="7">
        <f t="shared" si="35"/>
        <v>130014.17022993001</v>
      </c>
      <c r="Z12" s="4">
        <v>135578.79999999999</v>
      </c>
      <c r="AA12" s="9">
        <f t="shared" si="36"/>
        <v>33067.955255689201</v>
      </c>
      <c r="AB12" s="9">
        <f t="shared" si="37"/>
        <v>25882.360202969197</v>
      </c>
      <c r="AC12" s="9">
        <f t="shared" si="38"/>
        <v>45638.058689781596</v>
      </c>
      <c r="AD12" s="9">
        <f t="shared" si="39"/>
        <v>30990.425851559998</v>
      </c>
      <c r="AE12" s="4">
        <v>93925</v>
      </c>
      <c r="AF12" s="7">
        <f t="shared" si="5"/>
        <v>22908.307499999999</v>
      </c>
      <c r="AG12" s="7">
        <f t="shared" si="6"/>
        <v>17930.282499999998</v>
      </c>
      <c r="AH12" s="7">
        <f t="shared" si="7"/>
        <v>31615.155000000002</v>
      </c>
      <c r="AI12" s="7">
        <f t="shared" si="8"/>
        <v>21471.255000000001</v>
      </c>
      <c r="AJ12" s="9">
        <f t="shared" si="9"/>
        <v>31771.61</v>
      </c>
      <c r="AK12" s="7">
        <f t="shared" si="10"/>
        <v>6428.8753004444507</v>
      </c>
      <c r="AL12" s="7">
        <f t="shared" si="11"/>
        <v>5031.8946136941504</v>
      </c>
      <c r="AM12" s="7">
        <f t="shared" si="12"/>
        <v>8872.6800858614006</v>
      </c>
      <c r="AN12" s="10">
        <v>11438.16</v>
      </c>
      <c r="AO12" s="9">
        <f t="shared" si="13"/>
        <v>84784.847000000009</v>
      </c>
      <c r="AP12" s="7">
        <f t="shared" si="14"/>
        <v>23070.044839024129</v>
      </c>
      <c r="AQ12" s="7">
        <f t="shared" si="15"/>
        <v>18056.974033256269</v>
      </c>
      <c r="AR12" s="7">
        <f t="shared" si="16"/>
        <v>31839.648127719604</v>
      </c>
      <c r="AS12" s="7">
        <v>11818.18</v>
      </c>
      <c r="AT12" s="4"/>
      <c r="AU12" s="9">
        <f t="shared" si="17"/>
        <v>18798.507799999999</v>
      </c>
      <c r="AV12" s="7">
        <f t="shared" si="18"/>
        <v>4584.9956984729506</v>
      </c>
      <c r="AW12" s="7">
        <f t="shared" si="19"/>
        <v>3588.6860641776302</v>
      </c>
      <c r="AX12" s="7">
        <f t="shared" si="20"/>
        <v>6327.8875624855591</v>
      </c>
      <c r="AY12" s="9">
        <f t="shared" si="21"/>
        <v>4296.9384748638595</v>
      </c>
      <c r="AZ12" s="9">
        <f t="shared" si="22"/>
        <v>933652.66479999991</v>
      </c>
      <c r="BA12" s="7">
        <f t="shared" si="23"/>
        <v>228790.21038996583</v>
      </c>
      <c r="BB12" s="7">
        <f t="shared" si="24"/>
        <v>179074.49378677233</v>
      </c>
      <c r="BC12" s="7">
        <f t="shared" si="25"/>
        <v>315758.83106690802</v>
      </c>
      <c r="BD12" s="7">
        <f t="shared" si="26"/>
        <v>210029.12955635387</v>
      </c>
      <c r="BE12" s="11">
        <f t="shared" si="27"/>
        <v>-63568.45479999989</v>
      </c>
      <c r="BF12" s="7">
        <f t="shared" si="28"/>
        <v>-5705.8384860286205</v>
      </c>
      <c r="BG12" s="7">
        <f t="shared" si="29"/>
        <v>-2766.4333591363466</v>
      </c>
      <c r="BH12" s="7">
        <f t="shared" si="30"/>
        <v>15870.356601518775</v>
      </c>
      <c r="BI12" s="11">
        <f t="shared" si="31"/>
        <v>-70966.539556353877</v>
      </c>
    </row>
    <row r="13" spans="1:61" x14ac:dyDescent="0.2">
      <c r="A13" s="6">
        <v>42979</v>
      </c>
      <c r="B13" s="4">
        <v>230671.22</v>
      </c>
      <c r="C13" s="7">
        <f t="shared" si="0"/>
        <v>70258.868981241205</v>
      </c>
      <c r="D13" s="7">
        <f t="shared" si="1"/>
        <v>54959.29559805958</v>
      </c>
      <c r="E13" s="7">
        <f t="shared" si="2"/>
        <v>105453.05542069922</v>
      </c>
      <c r="F13" s="7">
        <v>0</v>
      </c>
      <c r="G13" s="2">
        <f t="shared" si="3"/>
        <v>1054168.83</v>
      </c>
      <c r="H13" s="23">
        <v>252743.46</v>
      </c>
      <c r="I13" s="23">
        <v>196051.92</v>
      </c>
      <c r="J13" s="23">
        <v>369183.13</v>
      </c>
      <c r="K13" s="23">
        <v>236190.32</v>
      </c>
      <c r="L13" s="2">
        <f t="shared" si="4"/>
        <v>939925.39</v>
      </c>
      <c r="M13" s="8">
        <v>244356.91</v>
      </c>
      <c r="N13" s="8"/>
      <c r="O13" s="8">
        <v>192948.29</v>
      </c>
      <c r="P13" s="8"/>
      <c r="Q13" s="8">
        <v>363557.6</v>
      </c>
      <c r="R13" s="8"/>
      <c r="S13" s="8">
        <v>139062.59</v>
      </c>
      <c r="T13" s="9"/>
      <c r="U13" s="24">
        <v>516323.98</v>
      </c>
      <c r="V13" s="7">
        <f t="shared" si="32"/>
        <v>125932.50764927382</v>
      </c>
      <c r="W13" s="7">
        <f t="shared" si="33"/>
        <v>98567.646503661817</v>
      </c>
      <c r="X13" s="7">
        <f t="shared" si="34"/>
        <v>173803.16171983836</v>
      </c>
      <c r="Y13" s="7">
        <f t="shared" si="35"/>
        <v>118020.66412722599</v>
      </c>
      <c r="Z13" s="4">
        <v>115342.39999999999</v>
      </c>
      <c r="AA13" s="9">
        <f t="shared" si="36"/>
        <v>28132.254617121598</v>
      </c>
      <c r="AB13" s="9">
        <f t="shared" si="37"/>
        <v>22019.176622561601</v>
      </c>
      <c r="AC13" s="9">
        <f t="shared" si="38"/>
        <v>38826.152913436796</v>
      </c>
      <c r="AD13" s="9">
        <f t="shared" si="39"/>
        <v>26364.815846879999</v>
      </c>
      <c r="AE13" s="4">
        <v>93925</v>
      </c>
      <c r="AF13" s="7">
        <f t="shared" si="5"/>
        <v>22908.307499999999</v>
      </c>
      <c r="AG13" s="7">
        <f t="shared" si="6"/>
        <v>17930.282499999998</v>
      </c>
      <c r="AH13" s="7">
        <f t="shared" si="7"/>
        <v>31615.155000000002</v>
      </c>
      <c r="AI13" s="7">
        <f t="shared" si="8"/>
        <v>21471.255000000001</v>
      </c>
      <c r="AJ13" s="9">
        <f t="shared" si="9"/>
        <v>31771.61</v>
      </c>
      <c r="AK13" s="7">
        <f t="shared" si="10"/>
        <v>6428.8753004444507</v>
      </c>
      <c r="AL13" s="7">
        <f t="shared" si="11"/>
        <v>5031.8946136941504</v>
      </c>
      <c r="AM13" s="7">
        <f t="shared" si="12"/>
        <v>8872.6800858614006</v>
      </c>
      <c r="AN13" s="10">
        <v>11438.16</v>
      </c>
      <c r="AO13" s="9">
        <f t="shared" si="13"/>
        <v>84784.847000000009</v>
      </c>
      <c r="AP13" s="7">
        <f t="shared" si="14"/>
        <v>23070.044839024129</v>
      </c>
      <c r="AQ13" s="7">
        <f t="shared" si="15"/>
        <v>18056.974033256269</v>
      </c>
      <c r="AR13" s="7">
        <f t="shared" si="16"/>
        <v>31839.648127719604</v>
      </c>
      <c r="AS13" s="7">
        <v>11818.18</v>
      </c>
      <c r="AT13" s="4"/>
      <c r="AU13" s="9">
        <f t="shared" si="17"/>
        <v>18798.507799999999</v>
      </c>
      <c r="AV13" s="7">
        <f t="shared" si="18"/>
        <v>4584.9956984729506</v>
      </c>
      <c r="AW13" s="7">
        <f t="shared" si="19"/>
        <v>3588.6860641776302</v>
      </c>
      <c r="AX13" s="7">
        <f t="shared" si="20"/>
        <v>6327.8875624855591</v>
      </c>
      <c r="AY13" s="9">
        <f t="shared" si="21"/>
        <v>4296.9384748638595</v>
      </c>
      <c r="AZ13" s="9">
        <f t="shared" si="22"/>
        <v>860946.34480000008</v>
      </c>
      <c r="BA13" s="7">
        <f t="shared" si="23"/>
        <v>211056.98560433695</v>
      </c>
      <c r="BB13" s="7">
        <f t="shared" si="24"/>
        <v>165194.66033735144</v>
      </c>
      <c r="BC13" s="7">
        <f t="shared" si="25"/>
        <v>291284.68540934171</v>
      </c>
      <c r="BD13" s="7">
        <f t="shared" si="26"/>
        <v>193410.01344896984</v>
      </c>
      <c r="BE13" s="11">
        <f t="shared" si="27"/>
        <v>309650.26519999991</v>
      </c>
      <c r="BF13" s="7">
        <f t="shared" si="28"/>
        <v>103558.79337690426</v>
      </c>
      <c r="BG13" s="7">
        <f t="shared" si="29"/>
        <v>82712.925260708143</v>
      </c>
      <c r="BH13" s="7">
        <f t="shared" si="30"/>
        <v>177725.97001135751</v>
      </c>
      <c r="BI13" s="11">
        <f t="shared" si="31"/>
        <v>-54347.423448969843</v>
      </c>
    </row>
    <row r="14" spans="1:61" x14ac:dyDescent="0.2">
      <c r="A14" s="6">
        <v>43009</v>
      </c>
      <c r="B14" s="4">
        <v>-4730.43</v>
      </c>
      <c r="C14" s="7">
        <f t="shared" si="0"/>
        <v>-1440.8154671178002</v>
      </c>
      <c r="D14" s="7">
        <f t="shared" si="1"/>
        <v>-1127.06344846977</v>
      </c>
      <c r="E14" s="7">
        <f t="shared" si="2"/>
        <v>-2162.5510844124301</v>
      </c>
      <c r="F14" s="7">
        <v>0</v>
      </c>
      <c r="G14" s="2">
        <f t="shared" si="3"/>
        <v>1054168.83</v>
      </c>
      <c r="H14" s="23">
        <v>252743.46</v>
      </c>
      <c r="I14" s="23">
        <v>196051.92</v>
      </c>
      <c r="J14" s="23">
        <v>369183.13</v>
      </c>
      <c r="K14" s="23">
        <v>236190.32</v>
      </c>
      <c r="L14" s="2">
        <f t="shared" si="4"/>
        <v>939925.39</v>
      </c>
      <c r="M14" s="8">
        <v>244356.91</v>
      </c>
      <c r="N14" s="8"/>
      <c r="O14" s="8">
        <v>192948.29</v>
      </c>
      <c r="P14" s="8"/>
      <c r="Q14" s="8">
        <v>363557.6</v>
      </c>
      <c r="R14" s="8"/>
      <c r="S14" s="8">
        <v>139062.59</v>
      </c>
      <c r="T14" s="9"/>
      <c r="U14" s="24">
        <v>520892.59</v>
      </c>
      <c r="V14" s="7">
        <f t="shared" si="32"/>
        <v>127046.80126347231</v>
      </c>
      <c r="W14" s="7">
        <f t="shared" si="33"/>
        <v>99439.806529026318</v>
      </c>
      <c r="X14" s="7">
        <f t="shared" si="34"/>
        <v>175341.03114566838</v>
      </c>
      <c r="Y14" s="7">
        <f t="shared" si="35"/>
        <v>119064.95106183301</v>
      </c>
      <c r="Z14" s="4">
        <v>129235.7</v>
      </c>
      <c r="AA14" s="9">
        <f t="shared" si="36"/>
        <v>31520.8597880913</v>
      </c>
      <c r="AB14" s="9">
        <f t="shared" si="37"/>
        <v>24671.445229511301</v>
      </c>
      <c r="AC14" s="9">
        <f t="shared" si="38"/>
        <v>43502.866682807398</v>
      </c>
      <c r="AD14" s="9">
        <f t="shared" si="39"/>
        <v>29540.528299589998</v>
      </c>
      <c r="AE14" s="4">
        <v>93925</v>
      </c>
      <c r="AF14" s="7">
        <f t="shared" si="5"/>
        <v>22908.307499999999</v>
      </c>
      <c r="AG14" s="7">
        <f t="shared" si="6"/>
        <v>17930.282499999998</v>
      </c>
      <c r="AH14" s="7">
        <f t="shared" si="7"/>
        <v>31615.155000000002</v>
      </c>
      <c r="AI14" s="7">
        <f t="shared" si="8"/>
        <v>21471.255000000001</v>
      </c>
      <c r="AJ14" s="9">
        <f t="shared" si="9"/>
        <v>31771.61</v>
      </c>
      <c r="AK14" s="7">
        <f t="shared" si="10"/>
        <v>6428.8753004444507</v>
      </c>
      <c r="AL14" s="7">
        <f t="shared" si="11"/>
        <v>5031.8946136941504</v>
      </c>
      <c r="AM14" s="7">
        <f t="shared" si="12"/>
        <v>8872.6800858614006</v>
      </c>
      <c r="AN14" s="10">
        <v>11438.16</v>
      </c>
      <c r="AO14" s="9">
        <f t="shared" si="13"/>
        <v>84784.847000000009</v>
      </c>
      <c r="AP14" s="7">
        <f t="shared" si="14"/>
        <v>23070.044839024129</v>
      </c>
      <c r="AQ14" s="7">
        <f t="shared" si="15"/>
        <v>18056.974033256269</v>
      </c>
      <c r="AR14" s="7">
        <f t="shared" si="16"/>
        <v>31839.648127719604</v>
      </c>
      <c r="AS14" s="7">
        <v>11818.18</v>
      </c>
      <c r="AT14" s="4"/>
      <c r="AU14" s="9">
        <f t="shared" si="17"/>
        <v>18798.507799999999</v>
      </c>
      <c r="AV14" s="7">
        <f t="shared" si="18"/>
        <v>4584.9956984729506</v>
      </c>
      <c r="AW14" s="7">
        <f t="shared" si="19"/>
        <v>3588.6860641776302</v>
      </c>
      <c r="AX14" s="7">
        <f t="shared" si="20"/>
        <v>6327.8875624855591</v>
      </c>
      <c r="AY14" s="9">
        <f t="shared" si="21"/>
        <v>4296.9384748638595</v>
      </c>
      <c r="AZ14" s="9">
        <f t="shared" si="22"/>
        <v>879408.2548</v>
      </c>
      <c r="BA14" s="7">
        <f t="shared" si="23"/>
        <v>215559.88438950517</v>
      </c>
      <c r="BB14" s="7">
        <f t="shared" si="24"/>
        <v>168719.08896966564</v>
      </c>
      <c r="BC14" s="7">
        <f t="shared" si="25"/>
        <v>297499.26860454236</v>
      </c>
      <c r="BD14" s="7">
        <f t="shared" si="26"/>
        <v>197630.01283628686</v>
      </c>
      <c r="BE14" s="11">
        <f t="shared" si="27"/>
        <v>55786.705200000019</v>
      </c>
      <c r="BF14" s="7">
        <f t="shared" si="28"/>
        <v>27356.210143377033</v>
      </c>
      <c r="BG14" s="7">
        <f t="shared" si="29"/>
        <v>23102.137581864601</v>
      </c>
      <c r="BH14" s="7">
        <f t="shared" si="30"/>
        <v>63895.780311045186</v>
      </c>
      <c r="BI14" s="11">
        <f t="shared" si="31"/>
        <v>-58567.42283628686</v>
      </c>
    </row>
    <row r="15" spans="1:61" x14ac:dyDescent="0.2">
      <c r="A15" s="6">
        <v>43040</v>
      </c>
      <c r="B15" s="4">
        <v>69025.25</v>
      </c>
      <c r="C15" s="7">
        <f t="shared" si="0"/>
        <v>21024.018497615001</v>
      </c>
      <c r="D15" s="7">
        <f t="shared" si="1"/>
        <v>16445.82760900975</v>
      </c>
      <c r="E15" s="7">
        <f t="shared" si="2"/>
        <v>31555.403893375253</v>
      </c>
      <c r="F15" s="7">
        <v>0</v>
      </c>
      <c r="G15" s="2">
        <f t="shared" si="3"/>
        <v>1054168.83</v>
      </c>
      <c r="H15" s="23">
        <v>252743.46</v>
      </c>
      <c r="I15" s="23">
        <v>196051.92</v>
      </c>
      <c r="J15" s="23">
        <v>369183.13</v>
      </c>
      <c r="K15" s="23">
        <v>236190.32</v>
      </c>
      <c r="L15" s="2">
        <f t="shared" si="4"/>
        <v>939925.39</v>
      </c>
      <c r="M15" s="8">
        <v>244356.91</v>
      </c>
      <c r="N15" s="8"/>
      <c r="O15" s="8">
        <v>192948.29</v>
      </c>
      <c r="P15" s="8"/>
      <c r="Q15" s="8">
        <v>363557.6</v>
      </c>
      <c r="R15" s="8"/>
      <c r="S15" s="8">
        <v>139062.59</v>
      </c>
      <c r="T15" s="9"/>
      <c r="U15" s="24">
        <v>428537.2</v>
      </c>
      <c r="V15" s="7">
        <f t="shared" si="32"/>
        <v>104521.1268649548</v>
      </c>
      <c r="W15" s="7">
        <f t="shared" si="33"/>
        <v>81808.912387274802</v>
      </c>
      <c r="X15" s="7">
        <f t="shared" si="34"/>
        <v>144252.6846701304</v>
      </c>
      <c r="Y15" s="7">
        <f t="shared" si="35"/>
        <v>97954.476077640007</v>
      </c>
      <c r="Z15" s="4">
        <v>124331.8</v>
      </c>
      <c r="AA15" s="9">
        <f t="shared" si="36"/>
        <v>30324.788235766202</v>
      </c>
      <c r="AB15" s="9">
        <f t="shared" si="37"/>
        <v>23735.277434846201</v>
      </c>
      <c r="AC15" s="9">
        <f t="shared" si="38"/>
        <v>41852.1331167276</v>
      </c>
      <c r="AD15" s="9">
        <f t="shared" si="39"/>
        <v>28419.60121266</v>
      </c>
      <c r="AE15" s="4">
        <v>93925</v>
      </c>
      <c r="AF15" s="7">
        <f t="shared" si="5"/>
        <v>22908.307499999999</v>
      </c>
      <c r="AG15" s="7">
        <f t="shared" si="6"/>
        <v>17930.282499999998</v>
      </c>
      <c r="AH15" s="7">
        <f t="shared" si="7"/>
        <v>31615.155000000002</v>
      </c>
      <c r="AI15" s="7">
        <f t="shared" si="8"/>
        <v>21471.255000000001</v>
      </c>
      <c r="AJ15" s="9">
        <f t="shared" si="9"/>
        <v>31771.65</v>
      </c>
      <c r="AK15" s="7">
        <f t="shared" si="10"/>
        <v>6428.8753004444507</v>
      </c>
      <c r="AL15" s="7">
        <f t="shared" si="11"/>
        <v>5031.8946136941504</v>
      </c>
      <c r="AM15" s="7">
        <f t="shared" si="12"/>
        <v>8872.6800858614006</v>
      </c>
      <c r="AN15" s="10">
        <v>11438.2</v>
      </c>
      <c r="AO15" s="9">
        <f t="shared" si="13"/>
        <v>84784.847000000009</v>
      </c>
      <c r="AP15" s="7">
        <f t="shared" si="14"/>
        <v>23070.044839024129</v>
      </c>
      <c r="AQ15" s="7">
        <f t="shared" si="15"/>
        <v>18056.974033256269</v>
      </c>
      <c r="AR15" s="7">
        <f t="shared" si="16"/>
        <v>31839.648127719604</v>
      </c>
      <c r="AS15" s="7">
        <v>11818.18</v>
      </c>
      <c r="AT15" s="4"/>
      <c r="AU15" s="9">
        <f t="shared" si="17"/>
        <v>18798.507799999999</v>
      </c>
      <c r="AV15" s="7">
        <f t="shared" si="18"/>
        <v>4584.9956984729506</v>
      </c>
      <c r="AW15" s="7">
        <f t="shared" si="19"/>
        <v>3588.6860641776302</v>
      </c>
      <c r="AX15" s="7">
        <f t="shared" si="20"/>
        <v>6327.8875624855591</v>
      </c>
      <c r="AY15" s="9">
        <f t="shared" si="21"/>
        <v>4296.9384748638595</v>
      </c>
      <c r="AZ15" s="9">
        <f t="shared" si="22"/>
        <v>782149.0048</v>
      </c>
      <c r="BA15" s="7">
        <f t="shared" si="23"/>
        <v>191838.13843866254</v>
      </c>
      <c r="BB15" s="7">
        <f t="shared" si="24"/>
        <v>150152.02703324906</v>
      </c>
      <c r="BC15" s="7">
        <f t="shared" si="25"/>
        <v>264760.18856292457</v>
      </c>
      <c r="BD15" s="7">
        <f t="shared" si="26"/>
        <v>175398.65076516385</v>
      </c>
      <c r="BE15" s="11">
        <f t="shared" si="27"/>
        <v>226801.63520000002</v>
      </c>
      <c r="BF15" s="7">
        <f t="shared" si="28"/>
        <v>73542.790058952465</v>
      </c>
      <c r="BG15" s="7">
        <f t="shared" si="29"/>
        <v>59242.090575760696</v>
      </c>
      <c r="BH15" s="7">
        <f t="shared" si="30"/>
        <v>130352.81533045066</v>
      </c>
      <c r="BI15" s="11">
        <f t="shared" si="31"/>
        <v>-36336.060765163857</v>
      </c>
    </row>
    <row r="16" spans="1:61" x14ac:dyDescent="0.2">
      <c r="A16" s="6">
        <v>43070</v>
      </c>
      <c r="B16" s="4">
        <v>278365.24</v>
      </c>
      <c r="C16" s="7">
        <f t="shared" si="0"/>
        <v>84785.7263081704</v>
      </c>
      <c r="D16" s="7">
        <f t="shared" si="1"/>
        <v>66322.784044688364</v>
      </c>
      <c r="E16" s="7">
        <f t="shared" si="2"/>
        <v>127256.72964714124</v>
      </c>
      <c r="F16" s="7">
        <v>0</v>
      </c>
      <c r="G16" s="2">
        <f t="shared" si="3"/>
        <v>1054168.83</v>
      </c>
      <c r="H16" s="23">
        <v>252743.46</v>
      </c>
      <c r="I16" s="23">
        <v>196051.92</v>
      </c>
      <c r="J16" s="23">
        <v>369183.13</v>
      </c>
      <c r="K16" s="23">
        <v>236190.32</v>
      </c>
      <c r="L16" s="2">
        <f t="shared" si="4"/>
        <v>939925.52999999991</v>
      </c>
      <c r="M16" s="8">
        <v>244357</v>
      </c>
      <c r="N16" s="8"/>
      <c r="O16" s="8">
        <v>192948.32</v>
      </c>
      <c r="P16" s="8"/>
      <c r="Q16" s="8">
        <v>363557.62</v>
      </c>
      <c r="R16" s="8"/>
      <c r="S16" s="8">
        <v>139062.59</v>
      </c>
      <c r="T16" s="9"/>
      <c r="U16" s="24">
        <v>852090</v>
      </c>
      <c r="V16" s="7">
        <f>(773904*0.243902109)+(17702*0.316172381)</f>
        <v>194353.70125199799</v>
      </c>
      <c r="W16" s="7">
        <f>(773904*0.190902709)+(17702*0.247468807)</f>
        <v>152121.06292745002</v>
      </c>
      <c r="X16" s="7">
        <f>(773904*0.336616482)+(17702*0.436358812)</f>
        <v>268233.26557575201</v>
      </c>
      <c r="Y16" s="7">
        <f>(773904*0.2285787)+45000+15484</f>
        <v>237381.9702448</v>
      </c>
      <c r="Z16" s="4">
        <v>144884</v>
      </c>
      <c r="AA16" s="9">
        <f t="shared" si="36"/>
        <v>35337.513160356</v>
      </c>
      <c r="AB16" s="9">
        <f t="shared" si="37"/>
        <v>27658.748090756002</v>
      </c>
      <c r="AC16" s="9">
        <f t="shared" si="38"/>
        <v>48770.342378087997</v>
      </c>
      <c r="AD16" s="9">
        <f t="shared" si="39"/>
        <v>33117.396370800001</v>
      </c>
      <c r="AE16" s="4">
        <v>93925</v>
      </c>
      <c r="AF16" s="7">
        <f t="shared" si="5"/>
        <v>22908.307499999999</v>
      </c>
      <c r="AG16" s="7">
        <f t="shared" si="6"/>
        <v>17930.282499999998</v>
      </c>
      <c r="AH16" s="7">
        <f t="shared" si="7"/>
        <v>31615.155000000002</v>
      </c>
      <c r="AI16" s="7">
        <f t="shared" si="8"/>
        <v>21471.255000000001</v>
      </c>
      <c r="AJ16" s="9">
        <f t="shared" si="9"/>
        <v>31771.63</v>
      </c>
      <c r="AK16" s="7">
        <f t="shared" si="10"/>
        <v>6428.8753004444507</v>
      </c>
      <c r="AL16" s="7">
        <f t="shared" si="11"/>
        <v>5031.8946136941504</v>
      </c>
      <c r="AM16" s="7">
        <f t="shared" si="12"/>
        <v>8872.6800858614006</v>
      </c>
      <c r="AN16" s="10">
        <v>11438.18</v>
      </c>
      <c r="AO16" s="9">
        <f t="shared" si="13"/>
        <v>84784.866999999998</v>
      </c>
      <c r="AP16" s="7">
        <f t="shared" si="14"/>
        <v>23070.044839024129</v>
      </c>
      <c r="AQ16" s="7">
        <f t="shared" si="15"/>
        <v>18056.974033256269</v>
      </c>
      <c r="AR16" s="7">
        <f t="shared" si="16"/>
        <v>31839.648127719604</v>
      </c>
      <c r="AS16" s="7">
        <v>11818.2</v>
      </c>
      <c r="AT16" s="4"/>
      <c r="AU16" s="9">
        <f t="shared" si="17"/>
        <v>18798.510599999998</v>
      </c>
      <c r="AV16" s="7">
        <f t="shared" si="18"/>
        <v>4584.9963813988552</v>
      </c>
      <c r="AW16" s="7">
        <f t="shared" si="19"/>
        <v>3588.6865987052151</v>
      </c>
      <c r="AX16" s="7">
        <f t="shared" si="20"/>
        <v>6327.8885050117087</v>
      </c>
      <c r="AY16" s="9">
        <f t="shared" si="21"/>
        <v>4296.9391148842196</v>
      </c>
      <c r="AZ16" s="9">
        <f t="shared" si="22"/>
        <v>1226254.0075999999</v>
      </c>
      <c r="BA16" s="7">
        <f t="shared" si="23"/>
        <v>286683.43843322142</v>
      </c>
      <c r="BB16" s="7">
        <f t="shared" si="24"/>
        <v>224387.64876386165</v>
      </c>
      <c r="BC16" s="7">
        <f t="shared" si="25"/>
        <v>395658.9796724327</v>
      </c>
      <c r="BD16" s="7">
        <f t="shared" si="26"/>
        <v>319523.94073048426</v>
      </c>
      <c r="BE16" s="11">
        <f t="shared" si="27"/>
        <v>-7963.2375999999931</v>
      </c>
      <c r="BF16" s="7">
        <f t="shared" si="28"/>
        <v>42459.287874948976</v>
      </c>
      <c r="BG16" s="7">
        <f t="shared" si="29"/>
        <v>34883.455280826718</v>
      </c>
      <c r="BH16" s="7">
        <f t="shared" si="30"/>
        <v>95155.369974708534</v>
      </c>
      <c r="BI16" s="11">
        <f t="shared" si="31"/>
        <v>-180461.35073048426</v>
      </c>
    </row>
    <row r="17" spans="1:61" x14ac:dyDescent="0.2">
      <c r="A17" s="6" t="s">
        <v>4</v>
      </c>
      <c r="B17" s="4">
        <f>SUM(B5:B16)</f>
        <v>-1012163.8099999998</v>
      </c>
      <c r="C17" s="7">
        <f t="shared" si="0"/>
        <v>-308289.36750039255</v>
      </c>
      <c r="D17" s="7">
        <f t="shared" si="1"/>
        <v>-241156.26573374955</v>
      </c>
      <c r="E17" s="7">
        <f t="shared" si="2"/>
        <v>-462718.17676585773</v>
      </c>
      <c r="F17" s="7">
        <v>0</v>
      </c>
      <c r="G17" s="4">
        <f t="shared" ref="G17:L17" si="40">SUM(G5:G16)</f>
        <v>12316302.83</v>
      </c>
      <c r="H17" s="20">
        <f t="shared" si="40"/>
        <v>3032921.52</v>
      </c>
      <c r="I17" s="20">
        <f t="shared" si="40"/>
        <v>2352623.0399999996</v>
      </c>
      <c r="J17" s="20">
        <f t="shared" si="40"/>
        <v>4430197.5599999996</v>
      </c>
      <c r="K17" s="20">
        <f t="shared" si="40"/>
        <v>2500560.71</v>
      </c>
      <c r="L17" s="11">
        <f t="shared" si="40"/>
        <v>10769136.869999999</v>
      </c>
      <c r="M17" s="8">
        <f>SUM(M5:M16)</f>
        <v>2932283.0100000002</v>
      </c>
      <c r="N17" s="8">
        <f>M17*100/H17</f>
        <v>96.68179643500963</v>
      </c>
      <c r="O17" s="8">
        <f>SUM(O5:O16)</f>
        <v>2315379.5099999998</v>
      </c>
      <c r="P17" s="8">
        <f>O17*100/I17</f>
        <v>98.416935932073514</v>
      </c>
      <c r="Q17" s="8">
        <f>SUM(Q5:Q16)</f>
        <v>4362691.2200000007</v>
      </c>
      <c r="R17" s="8">
        <f>Q17*100/J17</f>
        <v>98.476222807544531</v>
      </c>
      <c r="S17" s="8">
        <f>SUM(S5:S16)</f>
        <v>1158783.1299999999</v>
      </c>
      <c r="T17" s="9">
        <f>S17*100/K17</f>
        <v>46.340931670481211</v>
      </c>
      <c r="U17" s="4">
        <f>SUM(U5:U16)</f>
        <v>6494052.9699999997</v>
      </c>
      <c r="V17" s="7">
        <f>SUM(V5:V16)</f>
        <v>1599879.8757699458</v>
      </c>
      <c r="W17" s="7">
        <f t="shared" ref="W17:Y17" si="41">SUM(W5:W16)</f>
        <v>1252229.4438713568</v>
      </c>
      <c r="X17" s="7">
        <f t="shared" si="41"/>
        <v>2208041.3227293086</v>
      </c>
      <c r="Y17" s="7">
        <f t="shared" si="41"/>
        <v>1433902.327629389</v>
      </c>
      <c r="Z17" s="4">
        <f>SUM(Z5:Z16)</f>
        <v>1698814.5</v>
      </c>
      <c r="AA17" s="9">
        <f>SUM(AA5:AA16)</f>
        <v>422259.76139328128</v>
      </c>
      <c r="AB17" s="9">
        <f t="shared" ref="AB17:AD17" si="42">SUM(AB5:AB16)</f>
        <v>330503.62979922275</v>
      </c>
      <c r="AC17" s="9">
        <f t="shared" si="42"/>
        <v>582773.12953727611</v>
      </c>
      <c r="AD17" s="9">
        <f t="shared" si="42"/>
        <v>363277.97927021998</v>
      </c>
      <c r="AE17" s="4">
        <f>SUM(AE5:AE16)</f>
        <v>1127100</v>
      </c>
      <c r="AF17" s="7">
        <f>SUM(AF5:AF16)</f>
        <v>281687.87338542496</v>
      </c>
      <c r="AG17" s="7">
        <f t="shared" ref="AG17:AI17" si="43">SUM(AG5:AG16)</f>
        <v>220476.61519747501</v>
      </c>
      <c r="AH17" s="7">
        <f t="shared" si="43"/>
        <v>388751.70641710015</v>
      </c>
      <c r="AI17" s="7">
        <f t="shared" si="43"/>
        <v>236183.80500000002</v>
      </c>
      <c r="AJ17" s="4">
        <f>SUM(AJ5:AJ16)</f>
        <v>381259.37999999995</v>
      </c>
      <c r="AK17" s="7">
        <f>SUM(AK5:AK16)</f>
        <v>77146.503605333404</v>
      </c>
      <c r="AL17" s="7">
        <f t="shared" ref="AL17:AM17" si="44">SUM(AL5:AL16)</f>
        <v>60382.735364329819</v>
      </c>
      <c r="AM17" s="7">
        <f t="shared" si="44"/>
        <v>106472.16103033681</v>
      </c>
      <c r="AN17" s="10">
        <f>SUM(AN5:AN16)</f>
        <v>137257.98000000001</v>
      </c>
      <c r="AO17" s="4">
        <f>SUM(AO5:AO16)</f>
        <v>1005600.0040000003</v>
      </c>
      <c r="AP17" s="7">
        <f>SUM(AP5:AP16)</f>
        <v>276840.53806828958</v>
      </c>
      <c r="AQ17" s="7">
        <f t="shared" ref="AQ17:AS17" si="45">SUM(AQ5:AQ16)</f>
        <v>216683.68839907521</v>
      </c>
      <c r="AR17" s="7">
        <f t="shared" si="45"/>
        <v>382075.7775326352</v>
      </c>
      <c r="AS17" s="7">
        <f t="shared" si="45"/>
        <v>129999.99999999999</v>
      </c>
      <c r="AT17" s="4"/>
      <c r="AU17" s="9">
        <f>SUM(AU5:AU16)</f>
        <v>215382.73739999998</v>
      </c>
      <c r="AV17" s="7">
        <f>SUM(AV5:AV16)</f>
        <v>52532.303894053184</v>
      </c>
      <c r="AW17" s="7">
        <f t="shared" ref="AW17:AY17" si="46">SUM(AW5:AW16)</f>
        <v>41117.148041495617</v>
      </c>
      <c r="AX17" s="7">
        <f t="shared" si="46"/>
        <v>72501.379347117821</v>
      </c>
      <c r="AY17" s="7">
        <f t="shared" si="46"/>
        <v>49231.906117333383</v>
      </c>
      <c r="AZ17" s="9">
        <f t="shared" ref="AZ17:BE17" si="47">SUM(AZ5:AZ16)</f>
        <v>10922209.591399999</v>
      </c>
      <c r="BA17" s="7">
        <f t="shared" si="47"/>
        <v>2710346.8561163284</v>
      </c>
      <c r="BB17" s="7">
        <f t="shared" si="47"/>
        <v>2121393.2606729548</v>
      </c>
      <c r="BC17" s="7">
        <f t="shared" si="47"/>
        <v>3740615.4765937743</v>
      </c>
      <c r="BD17" s="7">
        <f t="shared" si="47"/>
        <v>2349853.9980169423</v>
      </c>
      <c r="BE17" s="13">
        <f t="shared" si="47"/>
        <v>-1165236.5313999993</v>
      </c>
      <c r="BF17" s="13">
        <f t="shared" ref="BF17:BI17" si="48">SUM(BF5:BF16)</f>
        <v>-86353.213616720794</v>
      </c>
      <c r="BG17" s="13">
        <f t="shared" si="48"/>
        <v>-47170.016406704439</v>
      </c>
      <c r="BH17" s="13">
        <f t="shared" si="48"/>
        <v>159357.5666403675</v>
      </c>
      <c r="BI17" s="13">
        <f t="shared" si="48"/>
        <v>-1191070.8680169424</v>
      </c>
    </row>
    <row r="18" spans="1:61" x14ac:dyDescent="0.2">
      <c r="A18" s="14"/>
      <c r="B18" s="14"/>
      <c r="C18" s="14"/>
      <c r="D18" s="14"/>
      <c r="E18" s="14"/>
      <c r="F18" s="14"/>
    </row>
    <row r="19" spans="1:61" x14ac:dyDescent="0.2">
      <c r="A19" s="14"/>
      <c r="B19" s="14"/>
      <c r="C19" s="14"/>
      <c r="D19" s="14"/>
      <c r="E19" s="14"/>
      <c r="F19" s="14"/>
    </row>
    <row r="22" spans="1:61" x14ac:dyDescent="0.2">
      <c r="U22" s="3" t="s">
        <v>7</v>
      </c>
    </row>
    <row r="23" spans="1:61" ht="84" x14ac:dyDescent="0.2">
      <c r="A23" s="4" t="s">
        <v>9</v>
      </c>
      <c r="B23" s="5" t="s">
        <v>10</v>
      </c>
      <c r="C23" s="1" t="s">
        <v>18</v>
      </c>
      <c r="D23" s="1" t="s">
        <v>19</v>
      </c>
      <c r="E23" s="1" t="s">
        <v>20</v>
      </c>
      <c r="F23" s="1"/>
      <c r="G23" s="5" t="s">
        <v>0</v>
      </c>
      <c r="H23" s="1" t="s">
        <v>27</v>
      </c>
      <c r="I23" s="1" t="s">
        <v>28</v>
      </c>
      <c r="J23" s="1" t="s">
        <v>29</v>
      </c>
      <c r="K23" s="1" t="s">
        <v>26</v>
      </c>
      <c r="L23" s="5" t="s">
        <v>1</v>
      </c>
      <c r="M23" s="1" t="s">
        <v>18</v>
      </c>
      <c r="N23" s="5" t="s">
        <v>2</v>
      </c>
      <c r="O23" s="1" t="s">
        <v>19</v>
      </c>
      <c r="P23" s="5" t="s">
        <v>2</v>
      </c>
      <c r="Q23" s="1" t="s">
        <v>20</v>
      </c>
      <c r="R23" s="5" t="s">
        <v>2</v>
      </c>
      <c r="S23" s="1" t="s">
        <v>26</v>
      </c>
      <c r="T23" s="5" t="s">
        <v>2</v>
      </c>
      <c r="U23" s="5" t="s">
        <v>35</v>
      </c>
      <c r="V23" s="1" t="s">
        <v>27</v>
      </c>
      <c r="W23" s="1" t="s">
        <v>28</v>
      </c>
      <c r="X23" s="1" t="s">
        <v>29</v>
      </c>
      <c r="Y23" s="1" t="s">
        <v>26</v>
      </c>
      <c r="Z23" s="5" t="s">
        <v>3</v>
      </c>
      <c r="AA23" s="1" t="s">
        <v>27</v>
      </c>
      <c r="AB23" s="1" t="s">
        <v>28</v>
      </c>
      <c r="AC23" s="1" t="s">
        <v>29</v>
      </c>
      <c r="AD23" s="1" t="s">
        <v>26</v>
      </c>
      <c r="AE23" s="5" t="s">
        <v>6</v>
      </c>
      <c r="AF23" s="1" t="s">
        <v>27</v>
      </c>
      <c r="AG23" s="1" t="s">
        <v>28</v>
      </c>
      <c r="AH23" s="1" t="s">
        <v>29</v>
      </c>
      <c r="AI23" s="1" t="s">
        <v>26</v>
      </c>
      <c r="AJ23" s="5" t="s">
        <v>5</v>
      </c>
      <c r="AK23" s="1" t="s">
        <v>27</v>
      </c>
      <c r="AL23" s="1" t="s">
        <v>28</v>
      </c>
      <c r="AM23" s="1" t="s">
        <v>29</v>
      </c>
      <c r="AN23" s="1" t="s">
        <v>26</v>
      </c>
    </row>
    <row r="24" spans="1:61" x14ac:dyDescent="0.2">
      <c r="A24" s="6">
        <v>42736</v>
      </c>
      <c r="B24" s="4">
        <v>-82341.570000000007</v>
      </c>
      <c r="C24" s="7">
        <f>B24*0.3149119</f>
        <v>-25930.340257683005</v>
      </c>
      <c r="D24" s="7">
        <f>B24*0.2502409</f>
        <v>-20605.228584213</v>
      </c>
      <c r="E24" s="7">
        <f>B24*0.4348472</f>
        <v>-35806.001158104002</v>
      </c>
      <c r="F24" s="7"/>
      <c r="G24" s="2">
        <f>H24+I24+J24+K24</f>
        <v>49843.270000000004</v>
      </c>
      <c r="H24" s="15">
        <v>15871.12</v>
      </c>
      <c r="I24" s="15">
        <v>12442.36</v>
      </c>
      <c r="J24" s="15">
        <v>21529.79</v>
      </c>
      <c r="K24" s="15"/>
      <c r="L24" s="2">
        <f>M24+O24+Q24+S24</f>
        <v>48791.59</v>
      </c>
      <c r="M24" s="15">
        <v>15344.48</v>
      </c>
      <c r="N24" s="15"/>
      <c r="O24" s="15">
        <v>12245.39</v>
      </c>
      <c r="P24" s="15"/>
      <c r="Q24" s="15">
        <v>21201.72</v>
      </c>
      <c r="R24" s="15"/>
      <c r="S24" s="15">
        <v>0</v>
      </c>
      <c r="T24" s="9"/>
      <c r="U24" s="4"/>
      <c r="V24" s="7">
        <f>U24*0.243902109</f>
        <v>0</v>
      </c>
      <c r="W24" s="7">
        <f>U24*0.190902709</f>
        <v>0</v>
      </c>
      <c r="X24" s="7">
        <f>U24*0.336616482</f>
        <v>0</v>
      </c>
      <c r="Y24" s="7">
        <f>U24*0.2285787</f>
        <v>0</v>
      </c>
      <c r="Z24" s="9">
        <f>L24*2%</f>
        <v>975.83179999999993</v>
      </c>
      <c r="AA24" s="7">
        <f>M24*2%</f>
        <v>306.88959999999997</v>
      </c>
      <c r="AB24" s="7">
        <f>O24*2%</f>
        <v>244.90779999999998</v>
      </c>
      <c r="AC24" s="7">
        <f>Q24*2%</f>
        <v>424.03440000000001</v>
      </c>
      <c r="AD24" s="7">
        <f>S24*2%</f>
        <v>0</v>
      </c>
      <c r="AE24" s="9">
        <f>U24+Z24</f>
        <v>975.83179999999993</v>
      </c>
      <c r="AF24" s="7">
        <f>V24+AA24</f>
        <v>306.88959999999997</v>
      </c>
      <c r="AG24" s="7">
        <f>W24+AB24</f>
        <v>244.90779999999998</v>
      </c>
      <c r="AH24" s="7">
        <f>X24+AC24</f>
        <v>424.03440000000001</v>
      </c>
      <c r="AI24" s="7">
        <f>Y24+AD24</f>
        <v>0</v>
      </c>
      <c r="AJ24" s="11">
        <f>L24-AE24+B24</f>
        <v>-34525.81180000001</v>
      </c>
      <c r="AK24" s="20">
        <f>M24-AF24+C24</f>
        <v>-10892.749857683006</v>
      </c>
      <c r="AL24" s="20">
        <f>O24-AG24+D24</f>
        <v>-8604.7463842130019</v>
      </c>
      <c r="AM24" s="20">
        <f>Q24-AH24+E24</f>
        <v>-15028.315558104001</v>
      </c>
      <c r="AN24" s="20">
        <f>S24-AI24+F24</f>
        <v>0</v>
      </c>
    </row>
    <row r="25" spans="1:61" x14ac:dyDescent="0.2">
      <c r="A25" s="6">
        <v>42767</v>
      </c>
      <c r="B25" s="4">
        <v>19494.099999999999</v>
      </c>
      <c r="C25" s="7">
        <f t="shared" ref="C25:C36" si="49">B25*0.3149119</f>
        <v>6138.9240697900004</v>
      </c>
      <c r="D25" s="7">
        <f t="shared" ref="D25:D36" si="50">B25*0.2502409</f>
        <v>4878.2211286899992</v>
      </c>
      <c r="E25" s="7">
        <f t="shared" ref="E25:E36" si="51">B25*0.4348472</f>
        <v>8476.9548015199998</v>
      </c>
      <c r="F25" s="7"/>
      <c r="G25" s="2">
        <f t="shared" ref="G25:G34" si="52">H25+I25+J25+K25</f>
        <v>63639.020000000004</v>
      </c>
      <c r="H25" s="15">
        <v>15871.12</v>
      </c>
      <c r="I25" s="15">
        <v>12442.36</v>
      </c>
      <c r="J25" s="15">
        <v>21529.79</v>
      </c>
      <c r="K25" s="15">
        <v>13795.75</v>
      </c>
      <c r="L25" s="2">
        <f t="shared" ref="L25:L35" si="53">M25+O25+Q25+S25</f>
        <v>48791.59</v>
      </c>
      <c r="M25" s="15">
        <v>15344.48</v>
      </c>
      <c r="N25" s="15"/>
      <c r="O25" s="15">
        <v>12245.39</v>
      </c>
      <c r="P25" s="15"/>
      <c r="Q25" s="15">
        <v>21201.72</v>
      </c>
      <c r="R25" s="15"/>
      <c r="S25" s="15">
        <v>0</v>
      </c>
      <c r="T25" s="9"/>
      <c r="U25" s="4"/>
      <c r="V25" s="7">
        <f t="shared" ref="V25:V35" si="54">U25*0.243902109</f>
        <v>0</v>
      </c>
      <c r="W25" s="7">
        <f t="shared" ref="W25:W35" si="55">U25*0.190902709</f>
        <v>0</v>
      </c>
      <c r="X25" s="7">
        <f t="shared" ref="X25:X35" si="56">U25*0.336616482</f>
        <v>0</v>
      </c>
      <c r="Y25" s="7">
        <f t="shared" ref="Y25:Y35" si="57">U25*0.2285787</f>
        <v>0</v>
      </c>
      <c r="Z25" s="9">
        <f t="shared" ref="Z25:Z35" si="58">L25*2%</f>
        <v>975.83179999999993</v>
      </c>
      <c r="AA25" s="7">
        <f t="shared" ref="AA25:AA35" si="59">M25*2%</f>
        <v>306.88959999999997</v>
      </c>
      <c r="AB25" s="7">
        <f t="shared" ref="AB25:AB35" si="60">O25*2%</f>
        <v>244.90779999999998</v>
      </c>
      <c r="AC25" s="7">
        <f t="shared" ref="AC25:AC35" si="61">Q25*2%</f>
        <v>424.03440000000001</v>
      </c>
      <c r="AD25" s="7">
        <f t="shared" ref="AD25:AD35" si="62">S25*2%</f>
        <v>0</v>
      </c>
      <c r="AE25" s="9">
        <f t="shared" ref="AE25:AE36" si="63">U25+Z25</f>
        <v>975.83179999999993</v>
      </c>
      <c r="AF25" s="7">
        <f t="shared" ref="AF25:AF36" si="64">V25+AA25</f>
        <v>306.88959999999997</v>
      </c>
      <c r="AG25" s="7">
        <f t="shared" ref="AG25:AG36" si="65">W25+AB25</f>
        <v>244.90779999999998</v>
      </c>
      <c r="AH25" s="7">
        <f t="shared" ref="AH25:AH36" si="66">X25+AC25</f>
        <v>424.03440000000001</v>
      </c>
      <c r="AI25" s="7">
        <f t="shared" ref="AI25:AI36" si="67">Y25+AD25</f>
        <v>0</v>
      </c>
      <c r="AJ25" s="11">
        <f t="shared" ref="AJ25:AJ36" si="68">L25-AE25+B25</f>
        <v>67309.858199999988</v>
      </c>
      <c r="AK25" s="20">
        <f t="shared" ref="AK25:AK36" si="69">M25-AF25+C25</f>
        <v>21176.51446979</v>
      </c>
      <c r="AL25" s="20">
        <f t="shared" ref="AL25:AL36" si="70">O25-AG25+D25</f>
        <v>16878.703328689997</v>
      </c>
      <c r="AM25" s="20">
        <f t="shared" ref="AM25:AM36" si="71">Q25-AH25+E25</f>
        <v>29254.640401520002</v>
      </c>
      <c r="AN25" s="20">
        <f t="shared" ref="AN25:AN36" si="72">S25-AI25+F25</f>
        <v>0</v>
      </c>
    </row>
    <row r="26" spans="1:61" x14ac:dyDescent="0.2">
      <c r="A26" s="6">
        <v>42795</v>
      </c>
      <c r="B26" s="4">
        <v>162870.26999999999</v>
      </c>
      <c r="C26" s="7">
        <f t="shared" si="49"/>
        <v>51289.786179212999</v>
      </c>
      <c r="D26" s="7">
        <f t="shared" si="50"/>
        <v>40756.802948042998</v>
      </c>
      <c r="E26" s="7">
        <f t="shared" si="51"/>
        <v>70823.680872743993</v>
      </c>
      <c r="F26" s="7"/>
      <c r="G26" s="2">
        <f t="shared" si="52"/>
        <v>63639.020000000004</v>
      </c>
      <c r="H26" s="15">
        <v>15871.12</v>
      </c>
      <c r="I26" s="15">
        <v>12442.36</v>
      </c>
      <c r="J26" s="15">
        <v>21529.79</v>
      </c>
      <c r="K26" s="15">
        <v>13795.75</v>
      </c>
      <c r="L26" s="2">
        <f t="shared" si="53"/>
        <v>49412.59</v>
      </c>
      <c r="M26" s="15">
        <v>15344.48</v>
      </c>
      <c r="N26" s="15"/>
      <c r="O26" s="15">
        <v>12245.39</v>
      </c>
      <c r="P26" s="15"/>
      <c r="Q26" s="15">
        <v>21201.72</v>
      </c>
      <c r="R26" s="15"/>
      <c r="S26" s="15">
        <v>621</v>
      </c>
      <c r="T26" s="9"/>
      <c r="U26" s="4">
        <v>24754</v>
      </c>
      <c r="V26" s="7">
        <f t="shared" si="54"/>
        <v>6037.5528061860005</v>
      </c>
      <c r="W26" s="7">
        <f t="shared" si="55"/>
        <v>4725.6056585859997</v>
      </c>
      <c r="X26" s="7">
        <f t="shared" si="56"/>
        <v>8332.6043954279994</v>
      </c>
      <c r="Y26" s="7">
        <f t="shared" si="57"/>
        <v>5658.2371397999996</v>
      </c>
      <c r="Z26" s="9">
        <f t="shared" si="58"/>
        <v>988.2518</v>
      </c>
      <c r="AA26" s="7">
        <f t="shared" si="59"/>
        <v>306.88959999999997</v>
      </c>
      <c r="AB26" s="7">
        <f t="shared" si="60"/>
        <v>244.90779999999998</v>
      </c>
      <c r="AC26" s="7">
        <f t="shared" si="61"/>
        <v>424.03440000000001</v>
      </c>
      <c r="AD26" s="7">
        <f t="shared" si="62"/>
        <v>12.42</v>
      </c>
      <c r="AE26" s="9">
        <f t="shared" si="63"/>
        <v>25742.251799999998</v>
      </c>
      <c r="AF26" s="7">
        <f t="shared" si="64"/>
        <v>6344.4424061860009</v>
      </c>
      <c r="AG26" s="7">
        <f t="shared" si="65"/>
        <v>4970.5134585859996</v>
      </c>
      <c r="AH26" s="7">
        <f t="shared" si="66"/>
        <v>8756.6387954279999</v>
      </c>
      <c r="AI26" s="7">
        <f t="shared" si="67"/>
        <v>5670.6571397999996</v>
      </c>
      <c r="AJ26" s="11">
        <f t="shared" si="68"/>
        <v>186540.60819999999</v>
      </c>
      <c r="AK26" s="20">
        <f t="shared" si="69"/>
        <v>60289.823773026998</v>
      </c>
      <c r="AL26" s="20">
        <f t="shared" si="70"/>
        <v>48031.679489456998</v>
      </c>
      <c r="AM26" s="20">
        <f t="shared" si="71"/>
        <v>83268.762077316002</v>
      </c>
      <c r="AN26" s="20">
        <f t="shared" si="72"/>
        <v>-5049.6571397999996</v>
      </c>
    </row>
    <row r="27" spans="1:61" x14ac:dyDescent="0.2">
      <c r="A27" s="6">
        <v>42826</v>
      </c>
      <c r="B27" s="4">
        <v>147528.45000000001</v>
      </c>
      <c r="C27" s="7">
        <f t="shared" si="49"/>
        <v>46458.46449355501</v>
      </c>
      <c r="D27" s="7">
        <f t="shared" si="50"/>
        <v>36917.652103605004</v>
      </c>
      <c r="E27" s="7">
        <f t="shared" si="51"/>
        <v>64152.333402840006</v>
      </c>
      <c r="F27" s="7"/>
      <c r="G27" s="2">
        <f t="shared" si="52"/>
        <v>63639.020000000004</v>
      </c>
      <c r="H27" s="15">
        <v>15871.12</v>
      </c>
      <c r="I27" s="15">
        <v>12442.36</v>
      </c>
      <c r="J27" s="15">
        <v>21529.79</v>
      </c>
      <c r="K27" s="15">
        <v>13795.75</v>
      </c>
      <c r="L27" s="2">
        <f t="shared" si="53"/>
        <v>51858.59</v>
      </c>
      <c r="M27" s="15">
        <v>15344.48</v>
      </c>
      <c r="N27" s="15"/>
      <c r="O27" s="15">
        <v>12245.39</v>
      </c>
      <c r="P27" s="15"/>
      <c r="Q27" s="15">
        <v>21201.72</v>
      </c>
      <c r="R27" s="15"/>
      <c r="S27" s="15">
        <v>3067</v>
      </c>
      <c r="T27" s="9"/>
      <c r="U27" s="4">
        <v>9146</v>
      </c>
      <c r="V27" s="7">
        <f t="shared" si="54"/>
        <v>2230.728688914</v>
      </c>
      <c r="W27" s="7">
        <f t="shared" si="55"/>
        <v>1745.9961765140001</v>
      </c>
      <c r="X27" s="7">
        <f t="shared" si="56"/>
        <v>3078.6943443720002</v>
      </c>
      <c r="Y27" s="7">
        <f t="shared" si="57"/>
        <v>2090.5807902000001</v>
      </c>
      <c r="Z27" s="9">
        <f t="shared" si="58"/>
        <v>1037.1717999999998</v>
      </c>
      <c r="AA27" s="7">
        <f t="shared" si="59"/>
        <v>306.88959999999997</v>
      </c>
      <c r="AB27" s="7">
        <f t="shared" si="60"/>
        <v>244.90779999999998</v>
      </c>
      <c r="AC27" s="7">
        <f t="shared" si="61"/>
        <v>424.03440000000001</v>
      </c>
      <c r="AD27" s="7">
        <f t="shared" si="62"/>
        <v>61.34</v>
      </c>
      <c r="AE27" s="9">
        <f t="shared" si="63"/>
        <v>10183.1718</v>
      </c>
      <c r="AF27" s="7">
        <f t="shared" si="64"/>
        <v>2537.618288914</v>
      </c>
      <c r="AG27" s="7">
        <f t="shared" si="65"/>
        <v>1990.9039765140001</v>
      </c>
      <c r="AH27" s="7">
        <f t="shared" si="66"/>
        <v>3502.7287443720002</v>
      </c>
      <c r="AI27" s="7">
        <f t="shared" si="67"/>
        <v>2151.9207902000003</v>
      </c>
      <c r="AJ27" s="11">
        <f t="shared" si="68"/>
        <v>189203.86820000003</v>
      </c>
      <c r="AK27" s="20">
        <f t="shared" si="69"/>
        <v>59265.326204641009</v>
      </c>
      <c r="AL27" s="20">
        <f t="shared" si="70"/>
        <v>47172.138127091006</v>
      </c>
      <c r="AM27" s="20">
        <f t="shared" si="71"/>
        <v>81851.324658468002</v>
      </c>
      <c r="AN27" s="20">
        <f t="shared" si="72"/>
        <v>915.07920979999972</v>
      </c>
    </row>
    <row r="28" spans="1:61" x14ac:dyDescent="0.2">
      <c r="A28" s="6">
        <v>42856</v>
      </c>
      <c r="B28" s="4">
        <v>98541.66</v>
      </c>
      <c r="C28" s="7">
        <f t="shared" si="49"/>
        <v>31031.941379754004</v>
      </c>
      <c r="D28" s="7">
        <f t="shared" si="50"/>
        <v>24659.153685893998</v>
      </c>
      <c r="E28" s="7">
        <f t="shared" si="51"/>
        <v>42850.564934351998</v>
      </c>
      <c r="F28" s="7"/>
      <c r="G28" s="2">
        <f t="shared" si="52"/>
        <v>63639.020000000004</v>
      </c>
      <c r="H28" s="15">
        <v>15871.12</v>
      </c>
      <c r="I28" s="15">
        <v>12442.36</v>
      </c>
      <c r="J28" s="15">
        <v>21529.79</v>
      </c>
      <c r="K28" s="15">
        <v>13795.75</v>
      </c>
      <c r="L28" s="2">
        <f t="shared" si="53"/>
        <v>57151.839999999997</v>
      </c>
      <c r="M28" s="15">
        <v>15344.48</v>
      </c>
      <c r="N28" s="15"/>
      <c r="O28" s="15">
        <v>12245.39</v>
      </c>
      <c r="P28" s="15"/>
      <c r="Q28" s="15">
        <v>21201.72</v>
      </c>
      <c r="R28" s="15"/>
      <c r="S28" s="15">
        <v>8360.25</v>
      </c>
      <c r="T28" s="9"/>
      <c r="U28" s="4"/>
      <c r="V28" s="7">
        <f t="shared" si="54"/>
        <v>0</v>
      </c>
      <c r="W28" s="7">
        <f t="shared" si="55"/>
        <v>0</v>
      </c>
      <c r="X28" s="7">
        <f t="shared" si="56"/>
        <v>0</v>
      </c>
      <c r="Y28" s="7">
        <f t="shared" si="57"/>
        <v>0</v>
      </c>
      <c r="Z28" s="9">
        <f t="shared" si="58"/>
        <v>1143.0367999999999</v>
      </c>
      <c r="AA28" s="7">
        <f t="shared" si="59"/>
        <v>306.88959999999997</v>
      </c>
      <c r="AB28" s="7">
        <f t="shared" si="60"/>
        <v>244.90779999999998</v>
      </c>
      <c r="AC28" s="7">
        <f t="shared" si="61"/>
        <v>424.03440000000001</v>
      </c>
      <c r="AD28" s="7">
        <f t="shared" si="62"/>
        <v>167.20500000000001</v>
      </c>
      <c r="AE28" s="9">
        <f t="shared" si="63"/>
        <v>1143.0367999999999</v>
      </c>
      <c r="AF28" s="7">
        <f t="shared" si="64"/>
        <v>306.88959999999997</v>
      </c>
      <c r="AG28" s="7">
        <f t="shared" si="65"/>
        <v>244.90779999999998</v>
      </c>
      <c r="AH28" s="7">
        <f t="shared" si="66"/>
        <v>424.03440000000001</v>
      </c>
      <c r="AI28" s="7">
        <f t="shared" si="67"/>
        <v>167.20500000000001</v>
      </c>
      <c r="AJ28" s="11">
        <f t="shared" si="68"/>
        <v>154550.4632</v>
      </c>
      <c r="AK28" s="20">
        <f t="shared" si="69"/>
        <v>46069.531779754005</v>
      </c>
      <c r="AL28" s="20">
        <f t="shared" si="70"/>
        <v>36659.635885893993</v>
      </c>
      <c r="AM28" s="20">
        <f t="shared" si="71"/>
        <v>63628.250534352002</v>
      </c>
      <c r="AN28" s="20">
        <f t="shared" si="72"/>
        <v>8193.0450000000001</v>
      </c>
    </row>
    <row r="29" spans="1:61" x14ac:dyDescent="0.2">
      <c r="A29" s="6">
        <v>42887</v>
      </c>
      <c r="B29" s="4">
        <v>-6230.31</v>
      </c>
      <c r="C29" s="7">
        <f t="shared" si="49"/>
        <v>-1961.9987596890003</v>
      </c>
      <c r="D29" s="7">
        <f t="shared" si="50"/>
        <v>-1559.0783816790001</v>
      </c>
      <c r="E29" s="7">
        <f t="shared" si="51"/>
        <v>-2709.232858632</v>
      </c>
      <c r="F29" s="7"/>
      <c r="G29" s="2">
        <f t="shared" si="52"/>
        <v>63639.020000000004</v>
      </c>
      <c r="H29" s="15">
        <v>15871.12</v>
      </c>
      <c r="I29" s="15">
        <v>12442.36</v>
      </c>
      <c r="J29" s="15">
        <v>21529.79</v>
      </c>
      <c r="K29" s="15">
        <v>13795.75</v>
      </c>
      <c r="L29" s="2">
        <f t="shared" si="53"/>
        <v>57151.839999999997</v>
      </c>
      <c r="M29" s="15">
        <v>15344.48</v>
      </c>
      <c r="N29" s="15"/>
      <c r="O29" s="15">
        <v>12245.39</v>
      </c>
      <c r="P29" s="15"/>
      <c r="Q29" s="15">
        <v>21201.72</v>
      </c>
      <c r="R29" s="15"/>
      <c r="S29" s="15">
        <v>8360.25</v>
      </c>
      <c r="T29" s="9"/>
      <c r="U29" s="4">
        <v>1000</v>
      </c>
      <c r="V29" s="7">
        <f t="shared" si="54"/>
        <v>243.902109</v>
      </c>
      <c r="W29" s="7">
        <f t="shared" si="55"/>
        <v>190.90270900000002</v>
      </c>
      <c r="X29" s="7">
        <f t="shared" si="56"/>
        <v>336.61648200000002</v>
      </c>
      <c r="Y29" s="7">
        <f t="shared" si="57"/>
        <v>228.5787</v>
      </c>
      <c r="Z29" s="9">
        <f t="shared" si="58"/>
        <v>1143.0367999999999</v>
      </c>
      <c r="AA29" s="7">
        <f t="shared" si="59"/>
        <v>306.88959999999997</v>
      </c>
      <c r="AB29" s="7">
        <f t="shared" si="60"/>
        <v>244.90779999999998</v>
      </c>
      <c r="AC29" s="7">
        <f t="shared" si="61"/>
        <v>424.03440000000001</v>
      </c>
      <c r="AD29" s="7">
        <f t="shared" si="62"/>
        <v>167.20500000000001</v>
      </c>
      <c r="AE29" s="9">
        <f t="shared" si="63"/>
        <v>2143.0367999999999</v>
      </c>
      <c r="AF29" s="7">
        <f t="shared" si="64"/>
        <v>550.79170899999997</v>
      </c>
      <c r="AG29" s="7">
        <f t="shared" si="65"/>
        <v>435.81050900000002</v>
      </c>
      <c r="AH29" s="7">
        <f t="shared" si="66"/>
        <v>760.65088200000002</v>
      </c>
      <c r="AI29" s="7">
        <f t="shared" si="67"/>
        <v>395.78370000000001</v>
      </c>
      <c r="AJ29" s="11">
        <f t="shared" si="68"/>
        <v>48778.493199999997</v>
      </c>
      <c r="AK29" s="20">
        <f t="shared" si="69"/>
        <v>12831.689531311</v>
      </c>
      <c r="AL29" s="20">
        <f t="shared" si="70"/>
        <v>10250.501109320998</v>
      </c>
      <c r="AM29" s="20">
        <f t="shared" si="71"/>
        <v>17731.836259367999</v>
      </c>
      <c r="AN29" s="20">
        <f t="shared" si="72"/>
        <v>7964.4663</v>
      </c>
    </row>
    <row r="30" spans="1:61" x14ac:dyDescent="0.2">
      <c r="A30" s="6">
        <v>42917</v>
      </c>
      <c r="B30" s="4">
        <v>18232.45</v>
      </c>
      <c r="C30" s="7">
        <f t="shared" si="49"/>
        <v>5741.6154711550007</v>
      </c>
      <c r="D30" s="7">
        <f t="shared" si="50"/>
        <v>4562.5046972050004</v>
      </c>
      <c r="E30" s="7">
        <f t="shared" si="51"/>
        <v>7928.3298316400005</v>
      </c>
      <c r="F30" s="7"/>
      <c r="G30" s="2">
        <f t="shared" si="52"/>
        <v>63639.020000000004</v>
      </c>
      <c r="H30" s="15">
        <v>15871.12</v>
      </c>
      <c r="I30" s="15">
        <v>12442.36</v>
      </c>
      <c r="J30" s="15">
        <v>21529.79</v>
      </c>
      <c r="K30" s="15">
        <v>13795.75</v>
      </c>
      <c r="L30" s="2">
        <f t="shared" si="53"/>
        <v>57151.839999999997</v>
      </c>
      <c r="M30" s="15">
        <v>15344.48</v>
      </c>
      <c r="N30" s="15"/>
      <c r="O30" s="15">
        <v>12245.39</v>
      </c>
      <c r="P30" s="15"/>
      <c r="Q30" s="15">
        <v>21201.72</v>
      </c>
      <c r="R30" s="15"/>
      <c r="S30" s="15">
        <v>8360.25</v>
      </c>
      <c r="T30" s="9"/>
      <c r="U30" s="4">
        <v>456158</v>
      </c>
      <c r="V30" s="7">
        <f>(37040*0.243902109)+(419118.47*0.316172381)</f>
        <v>141547.81869833707</v>
      </c>
      <c r="W30" s="7">
        <f>(37040*0.190902709)+(419118.47*0.247468807)</f>
        <v>110789.78410392528</v>
      </c>
      <c r="X30" s="7">
        <f>(37040*0.336616482)+(419118.47*0.436358812)</f>
        <v>195354.31214973764</v>
      </c>
      <c r="Y30" s="7">
        <f>37040*0.2285787</f>
        <v>8466.5550480000002</v>
      </c>
      <c r="Z30" s="9">
        <f t="shared" si="58"/>
        <v>1143.0367999999999</v>
      </c>
      <c r="AA30" s="7">
        <f t="shared" si="59"/>
        <v>306.88959999999997</v>
      </c>
      <c r="AB30" s="7">
        <f t="shared" si="60"/>
        <v>244.90779999999998</v>
      </c>
      <c r="AC30" s="7">
        <f t="shared" si="61"/>
        <v>424.03440000000001</v>
      </c>
      <c r="AD30" s="7">
        <f t="shared" si="62"/>
        <v>167.20500000000001</v>
      </c>
      <c r="AE30" s="9">
        <f t="shared" si="63"/>
        <v>457301.0368</v>
      </c>
      <c r="AF30" s="7">
        <f t="shared" si="64"/>
        <v>141854.70829833706</v>
      </c>
      <c r="AG30" s="7">
        <f t="shared" si="65"/>
        <v>111034.69190392528</v>
      </c>
      <c r="AH30" s="7">
        <f t="shared" si="66"/>
        <v>195778.34654973765</v>
      </c>
      <c r="AI30" s="7">
        <f t="shared" si="67"/>
        <v>8633.7600480000001</v>
      </c>
      <c r="AJ30" s="11">
        <f t="shared" si="68"/>
        <v>-381916.74680000002</v>
      </c>
      <c r="AK30" s="20">
        <f t="shared" si="69"/>
        <v>-120768.61282718206</v>
      </c>
      <c r="AL30" s="20">
        <f t="shared" si="70"/>
        <v>-94226.797206720279</v>
      </c>
      <c r="AM30" s="20">
        <f t="shared" si="71"/>
        <v>-166648.29671809764</v>
      </c>
      <c r="AN30" s="20">
        <f t="shared" si="72"/>
        <v>-273.5100480000001</v>
      </c>
    </row>
    <row r="31" spans="1:61" x14ac:dyDescent="0.2">
      <c r="A31" s="6">
        <v>42948</v>
      </c>
      <c r="B31" s="4">
        <v>126304.15</v>
      </c>
      <c r="C31" s="7">
        <f t="shared" si="49"/>
        <v>39774.679854385002</v>
      </c>
      <c r="D31" s="7">
        <f t="shared" si="50"/>
        <v>31606.464169734998</v>
      </c>
      <c r="E31" s="7">
        <f t="shared" si="51"/>
        <v>54923.005975879998</v>
      </c>
      <c r="F31" s="7"/>
      <c r="G31" s="2">
        <f t="shared" si="52"/>
        <v>63639.020000000004</v>
      </c>
      <c r="H31" s="15">
        <v>15871.12</v>
      </c>
      <c r="I31" s="15">
        <v>12442.36</v>
      </c>
      <c r="J31" s="15">
        <v>21529.79</v>
      </c>
      <c r="K31" s="15">
        <v>13795.75</v>
      </c>
      <c r="L31" s="2">
        <f t="shared" si="53"/>
        <v>57151.839999999997</v>
      </c>
      <c r="M31" s="15">
        <v>15344.48</v>
      </c>
      <c r="N31" s="15"/>
      <c r="O31" s="15">
        <v>12245.39</v>
      </c>
      <c r="P31" s="15"/>
      <c r="Q31" s="15">
        <v>21201.72</v>
      </c>
      <c r="R31" s="15"/>
      <c r="S31" s="15">
        <v>8360.25</v>
      </c>
      <c r="T31" s="9"/>
      <c r="U31" s="4">
        <v>81900.44</v>
      </c>
      <c r="V31" s="7">
        <f t="shared" si="54"/>
        <v>19975.690044027961</v>
      </c>
      <c r="W31" s="7">
        <f t="shared" si="55"/>
        <v>15635.015864291961</v>
      </c>
      <c r="X31" s="7">
        <f t="shared" si="56"/>
        <v>27569.037987052081</v>
      </c>
      <c r="Y31" s="7">
        <f t="shared" si="57"/>
        <v>18720.696104628001</v>
      </c>
      <c r="Z31" s="9">
        <f t="shared" si="58"/>
        <v>1143.0367999999999</v>
      </c>
      <c r="AA31" s="7">
        <f t="shared" si="59"/>
        <v>306.88959999999997</v>
      </c>
      <c r="AB31" s="7">
        <f t="shared" si="60"/>
        <v>244.90779999999998</v>
      </c>
      <c r="AC31" s="7">
        <f t="shared" si="61"/>
        <v>424.03440000000001</v>
      </c>
      <c r="AD31" s="7">
        <f t="shared" si="62"/>
        <v>167.20500000000001</v>
      </c>
      <c r="AE31" s="9">
        <f t="shared" si="63"/>
        <v>83043.476800000004</v>
      </c>
      <c r="AF31" s="7">
        <f t="shared" si="64"/>
        <v>20282.579644027959</v>
      </c>
      <c r="AG31" s="7">
        <f t="shared" si="65"/>
        <v>15879.923664291962</v>
      </c>
      <c r="AH31" s="7">
        <f t="shared" si="66"/>
        <v>27993.072387052081</v>
      </c>
      <c r="AI31" s="7">
        <f t="shared" si="67"/>
        <v>18887.901104628003</v>
      </c>
      <c r="AJ31" s="11">
        <f t="shared" si="68"/>
        <v>100412.51319999999</v>
      </c>
      <c r="AK31" s="20">
        <f t="shared" si="69"/>
        <v>34836.580210357046</v>
      </c>
      <c r="AL31" s="20">
        <f t="shared" si="70"/>
        <v>27971.930505443037</v>
      </c>
      <c r="AM31" s="20">
        <f t="shared" si="71"/>
        <v>48131.653588827918</v>
      </c>
      <c r="AN31" s="20">
        <f t="shared" si="72"/>
        <v>-10527.651104628003</v>
      </c>
    </row>
    <row r="32" spans="1:61" x14ac:dyDescent="0.2">
      <c r="A32" s="6">
        <v>42979</v>
      </c>
      <c r="B32" s="4">
        <v>194278.33</v>
      </c>
      <c r="C32" s="7">
        <f t="shared" si="49"/>
        <v>61180.558029127002</v>
      </c>
      <c r="D32" s="7">
        <f t="shared" si="50"/>
        <v>48616.384149696998</v>
      </c>
      <c r="E32" s="7">
        <f t="shared" si="51"/>
        <v>84481.387821175987</v>
      </c>
      <c r="F32" s="7"/>
      <c r="G32" s="2">
        <f t="shared" si="52"/>
        <v>63639.020000000004</v>
      </c>
      <c r="H32" s="15">
        <v>15871.12</v>
      </c>
      <c r="I32" s="15">
        <v>12442.36</v>
      </c>
      <c r="J32" s="15">
        <v>21529.79</v>
      </c>
      <c r="K32" s="15">
        <v>13795.75</v>
      </c>
      <c r="L32" s="2">
        <f t="shared" si="53"/>
        <v>57151.839999999997</v>
      </c>
      <c r="M32" s="15">
        <v>15344.48</v>
      </c>
      <c r="N32" s="15"/>
      <c r="O32" s="15">
        <v>12245.39</v>
      </c>
      <c r="P32" s="15"/>
      <c r="Q32" s="15">
        <v>21201.72</v>
      </c>
      <c r="R32" s="15"/>
      <c r="S32" s="15">
        <v>8360.25</v>
      </c>
      <c r="T32" s="9"/>
      <c r="U32" s="4"/>
      <c r="V32" s="7">
        <f t="shared" si="54"/>
        <v>0</v>
      </c>
      <c r="W32" s="7">
        <f t="shared" si="55"/>
        <v>0</v>
      </c>
      <c r="X32" s="7">
        <f t="shared" si="56"/>
        <v>0</v>
      </c>
      <c r="Y32" s="7">
        <f t="shared" si="57"/>
        <v>0</v>
      </c>
      <c r="Z32" s="9">
        <f t="shared" si="58"/>
        <v>1143.0367999999999</v>
      </c>
      <c r="AA32" s="7">
        <f t="shared" si="59"/>
        <v>306.88959999999997</v>
      </c>
      <c r="AB32" s="7">
        <f t="shared" si="60"/>
        <v>244.90779999999998</v>
      </c>
      <c r="AC32" s="7">
        <f t="shared" si="61"/>
        <v>424.03440000000001</v>
      </c>
      <c r="AD32" s="7">
        <f t="shared" si="62"/>
        <v>167.20500000000001</v>
      </c>
      <c r="AE32" s="9">
        <f t="shared" si="63"/>
        <v>1143.0367999999999</v>
      </c>
      <c r="AF32" s="7">
        <f t="shared" si="64"/>
        <v>306.88959999999997</v>
      </c>
      <c r="AG32" s="7">
        <f t="shared" si="65"/>
        <v>244.90779999999998</v>
      </c>
      <c r="AH32" s="7">
        <f t="shared" si="66"/>
        <v>424.03440000000001</v>
      </c>
      <c r="AI32" s="7">
        <f t="shared" si="67"/>
        <v>167.20500000000001</v>
      </c>
      <c r="AJ32" s="11">
        <f t="shared" si="68"/>
        <v>250287.13319999998</v>
      </c>
      <c r="AK32" s="20">
        <f t="shared" si="69"/>
        <v>76218.148429127003</v>
      </c>
      <c r="AL32" s="20">
        <f t="shared" si="70"/>
        <v>60616.866349696997</v>
      </c>
      <c r="AM32" s="20">
        <f t="shared" si="71"/>
        <v>105259.07342117598</v>
      </c>
      <c r="AN32" s="20">
        <f t="shared" si="72"/>
        <v>8193.0450000000001</v>
      </c>
    </row>
    <row r="33" spans="1:40" x14ac:dyDescent="0.2">
      <c r="A33" s="6">
        <v>43009</v>
      </c>
      <c r="B33" s="4">
        <v>87138.1</v>
      </c>
      <c r="C33" s="7">
        <f t="shared" si="49"/>
        <v>27440.824633390002</v>
      </c>
      <c r="D33" s="7">
        <f t="shared" si="50"/>
        <v>21805.516568290001</v>
      </c>
      <c r="E33" s="7">
        <f t="shared" si="51"/>
        <v>37891.758798319999</v>
      </c>
      <c r="F33" s="7"/>
      <c r="G33" s="2">
        <f t="shared" si="52"/>
        <v>63639.020000000004</v>
      </c>
      <c r="H33" s="15">
        <v>15871.12</v>
      </c>
      <c r="I33" s="15">
        <v>12442.36</v>
      </c>
      <c r="J33" s="15">
        <v>21529.79</v>
      </c>
      <c r="K33" s="15">
        <v>13795.75</v>
      </c>
      <c r="L33" s="2">
        <f t="shared" si="53"/>
        <v>57151.839999999997</v>
      </c>
      <c r="M33" s="15">
        <v>15344.48</v>
      </c>
      <c r="N33" s="15"/>
      <c r="O33" s="15">
        <v>12245.39</v>
      </c>
      <c r="P33" s="15"/>
      <c r="Q33" s="15">
        <v>21201.72</v>
      </c>
      <c r="R33" s="15"/>
      <c r="S33" s="15">
        <v>8360.25</v>
      </c>
      <c r="T33" s="9"/>
      <c r="U33" s="4">
        <v>18000</v>
      </c>
      <c r="V33" s="7">
        <f>18000*0.316172381</f>
        <v>5691.1028580000002</v>
      </c>
      <c r="W33" s="7">
        <f>18000*0.247468807</f>
        <v>4454.4385259999999</v>
      </c>
      <c r="X33" s="7">
        <f>18000*0.436358812</f>
        <v>7854.4586159999999</v>
      </c>
      <c r="Y33" s="7">
        <v>0</v>
      </c>
      <c r="Z33" s="9">
        <f t="shared" si="58"/>
        <v>1143.0367999999999</v>
      </c>
      <c r="AA33" s="7">
        <f t="shared" si="59"/>
        <v>306.88959999999997</v>
      </c>
      <c r="AB33" s="7">
        <f t="shared" si="60"/>
        <v>244.90779999999998</v>
      </c>
      <c r="AC33" s="7">
        <f t="shared" si="61"/>
        <v>424.03440000000001</v>
      </c>
      <c r="AD33" s="7">
        <f t="shared" si="62"/>
        <v>167.20500000000001</v>
      </c>
      <c r="AE33" s="9">
        <f t="shared" si="63"/>
        <v>19143.036800000002</v>
      </c>
      <c r="AF33" s="7">
        <f t="shared" si="64"/>
        <v>5997.9924580000006</v>
      </c>
      <c r="AG33" s="7">
        <f t="shared" si="65"/>
        <v>4699.3463259999999</v>
      </c>
      <c r="AH33" s="7">
        <f t="shared" si="66"/>
        <v>8278.4930160000004</v>
      </c>
      <c r="AI33" s="7">
        <f t="shared" si="67"/>
        <v>167.20500000000001</v>
      </c>
      <c r="AJ33" s="11">
        <f t="shared" si="68"/>
        <v>125146.9032</v>
      </c>
      <c r="AK33" s="20">
        <f t="shared" si="69"/>
        <v>36787.312175390005</v>
      </c>
      <c r="AL33" s="20">
        <f t="shared" si="70"/>
        <v>29351.560242290001</v>
      </c>
      <c r="AM33" s="20">
        <f t="shared" si="71"/>
        <v>50814.98578232</v>
      </c>
      <c r="AN33" s="20">
        <f t="shared" si="72"/>
        <v>8193.0450000000001</v>
      </c>
    </row>
    <row r="34" spans="1:40" x14ac:dyDescent="0.2">
      <c r="A34" s="6">
        <v>43040</v>
      </c>
      <c r="B34" s="4">
        <v>-315852.07</v>
      </c>
      <c r="C34" s="7">
        <f t="shared" si="49"/>
        <v>-99465.575482633009</v>
      </c>
      <c r="D34" s="7">
        <f t="shared" si="50"/>
        <v>-79039.106263662994</v>
      </c>
      <c r="E34" s="7">
        <f t="shared" si="51"/>
        <v>-137347.388253704</v>
      </c>
      <c r="F34" s="7"/>
      <c r="G34" s="2">
        <f t="shared" si="52"/>
        <v>63639.020000000004</v>
      </c>
      <c r="H34" s="15">
        <v>15871.12</v>
      </c>
      <c r="I34" s="15">
        <v>12442.36</v>
      </c>
      <c r="J34" s="15">
        <v>21529.79</v>
      </c>
      <c r="K34" s="15">
        <v>13795.75</v>
      </c>
      <c r="L34" s="2">
        <f t="shared" si="53"/>
        <v>57151.839999999997</v>
      </c>
      <c r="M34" s="15">
        <v>15344.48</v>
      </c>
      <c r="N34" s="15"/>
      <c r="O34" s="15">
        <v>12245.39</v>
      </c>
      <c r="P34" s="15"/>
      <c r="Q34" s="15">
        <v>21201.72</v>
      </c>
      <c r="R34" s="15"/>
      <c r="S34" s="15">
        <v>8360.25</v>
      </c>
      <c r="T34" s="9"/>
      <c r="U34" s="4">
        <v>12500</v>
      </c>
      <c r="V34" s="7">
        <v>0</v>
      </c>
      <c r="W34" s="7">
        <v>0</v>
      </c>
      <c r="X34" s="7">
        <v>5000</v>
      </c>
      <c r="Y34" s="7">
        <v>7500</v>
      </c>
      <c r="Z34" s="9">
        <f t="shared" si="58"/>
        <v>1143.0367999999999</v>
      </c>
      <c r="AA34" s="7">
        <f t="shared" si="59"/>
        <v>306.88959999999997</v>
      </c>
      <c r="AB34" s="7">
        <f t="shared" si="60"/>
        <v>244.90779999999998</v>
      </c>
      <c r="AC34" s="7">
        <f t="shared" si="61"/>
        <v>424.03440000000001</v>
      </c>
      <c r="AD34" s="7">
        <f t="shared" si="62"/>
        <v>167.20500000000001</v>
      </c>
      <c r="AE34" s="9">
        <f t="shared" si="63"/>
        <v>13643.0368</v>
      </c>
      <c r="AF34" s="7">
        <f t="shared" si="64"/>
        <v>306.88959999999997</v>
      </c>
      <c r="AG34" s="7">
        <f t="shared" si="65"/>
        <v>244.90779999999998</v>
      </c>
      <c r="AH34" s="7">
        <f t="shared" si="66"/>
        <v>5424.0344000000005</v>
      </c>
      <c r="AI34" s="7">
        <f t="shared" si="67"/>
        <v>7667.2049999999999</v>
      </c>
      <c r="AJ34" s="11">
        <f t="shared" si="68"/>
        <v>-272343.26679999998</v>
      </c>
      <c r="AK34" s="20">
        <f t="shared" si="69"/>
        <v>-84427.985082633008</v>
      </c>
      <c r="AL34" s="20">
        <f t="shared" si="70"/>
        <v>-67038.624063662995</v>
      </c>
      <c r="AM34" s="20">
        <f t="shared" si="71"/>
        <v>-121569.70265370401</v>
      </c>
      <c r="AN34" s="20">
        <f t="shared" si="72"/>
        <v>693.04500000000007</v>
      </c>
    </row>
    <row r="35" spans="1:40" x14ac:dyDescent="0.2">
      <c r="A35" s="6">
        <v>43070</v>
      </c>
      <c r="B35" s="4">
        <v>237834.15</v>
      </c>
      <c r="C35" s="7">
        <f t="shared" si="49"/>
        <v>74896.804061385003</v>
      </c>
      <c r="D35" s="7">
        <f t="shared" si="50"/>
        <v>59515.831746734999</v>
      </c>
      <c r="E35" s="7">
        <f t="shared" si="51"/>
        <v>103421.51419187999</v>
      </c>
      <c r="F35" s="7"/>
      <c r="G35" s="2">
        <f>H35+I35+J35+K35</f>
        <v>63639.020000000004</v>
      </c>
      <c r="H35" s="15">
        <v>15871.12</v>
      </c>
      <c r="I35" s="15">
        <v>12442.36</v>
      </c>
      <c r="J35" s="15">
        <v>21529.79</v>
      </c>
      <c r="K35" s="15">
        <v>13795.75</v>
      </c>
      <c r="L35" s="2">
        <f t="shared" si="53"/>
        <v>57151.839999999997</v>
      </c>
      <c r="M35" s="15">
        <v>15344.48</v>
      </c>
      <c r="N35" s="15"/>
      <c r="O35" s="15">
        <v>12245.39</v>
      </c>
      <c r="P35" s="15"/>
      <c r="Q35" s="15">
        <v>21201.72</v>
      </c>
      <c r="R35" s="15"/>
      <c r="S35" s="15">
        <v>8360.25</v>
      </c>
      <c r="T35" s="9"/>
      <c r="U35" s="4">
        <v>17039</v>
      </c>
      <c r="V35" s="7">
        <f t="shared" si="54"/>
        <v>4155.8480352510005</v>
      </c>
      <c r="W35" s="7">
        <f t="shared" si="55"/>
        <v>3252.7912586510001</v>
      </c>
      <c r="X35" s="7">
        <f t="shared" si="56"/>
        <v>5735.6082367979998</v>
      </c>
      <c r="Y35" s="7">
        <f t="shared" si="57"/>
        <v>3894.7524693</v>
      </c>
      <c r="Z35" s="9">
        <f t="shared" si="58"/>
        <v>1143.0367999999999</v>
      </c>
      <c r="AA35" s="7">
        <f t="shared" si="59"/>
        <v>306.88959999999997</v>
      </c>
      <c r="AB35" s="7">
        <f t="shared" si="60"/>
        <v>244.90779999999998</v>
      </c>
      <c r="AC35" s="7">
        <f t="shared" si="61"/>
        <v>424.03440000000001</v>
      </c>
      <c r="AD35" s="7">
        <f t="shared" si="62"/>
        <v>167.20500000000001</v>
      </c>
      <c r="AE35" s="9">
        <f t="shared" si="63"/>
        <v>18182.036800000002</v>
      </c>
      <c r="AF35" s="7">
        <f t="shared" si="64"/>
        <v>4462.737635251</v>
      </c>
      <c r="AG35" s="7">
        <f t="shared" si="65"/>
        <v>3497.6990586510001</v>
      </c>
      <c r="AH35" s="7">
        <f t="shared" si="66"/>
        <v>6159.6426367980002</v>
      </c>
      <c r="AI35" s="7">
        <f t="shared" si="67"/>
        <v>4061.9574693</v>
      </c>
      <c r="AJ35" s="11">
        <f t="shared" si="68"/>
        <v>276803.95319999999</v>
      </c>
      <c r="AK35" s="20">
        <f t="shared" si="69"/>
        <v>85778.546426134009</v>
      </c>
      <c r="AL35" s="20">
        <f t="shared" si="70"/>
        <v>68263.522688083991</v>
      </c>
      <c r="AM35" s="20">
        <f t="shared" si="71"/>
        <v>118463.59155508199</v>
      </c>
      <c r="AN35" s="20">
        <f t="shared" si="72"/>
        <v>4298.2925307000005</v>
      </c>
    </row>
    <row r="36" spans="1:40" x14ac:dyDescent="0.2">
      <c r="A36" s="4" t="s">
        <v>4</v>
      </c>
      <c r="B36" s="4">
        <f>SUM(B24:B35)</f>
        <v>687797.71</v>
      </c>
      <c r="C36" s="7">
        <f t="shared" si="49"/>
        <v>216595.68367174899</v>
      </c>
      <c r="D36" s="7">
        <f t="shared" si="50"/>
        <v>172115.11796833898</v>
      </c>
      <c r="E36" s="7">
        <f t="shared" si="51"/>
        <v>299086.90835991199</v>
      </c>
      <c r="F36" s="7"/>
      <c r="G36" s="11">
        <f>SUM(G24:G35)</f>
        <v>749872.49000000011</v>
      </c>
      <c r="H36" s="15">
        <f>SUM(H24:H35)</f>
        <v>190453.43999999997</v>
      </c>
      <c r="I36" s="15">
        <f t="shared" ref="I36:K36" si="73">SUM(I24:I35)</f>
        <v>149308.32</v>
      </c>
      <c r="J36" s="15">
        <f t="shared" si="73"/>
        <v>258357.48000000007</v>
      </c>
      <c r="K36" s="15">
        <f t="shared" si="73"/>
        <v>151753.25</v>
      </c>
      <c r="L36" s="11">
        <f>SUM(L24:L35)</f>
        <v>656069.07999999984</v>
      </c>
      <c r="M36" s="15">
        <f>SUM(M24:M35)</f>
        <v>184133.76000000001</v>
      </c>
      <c r="N36" s="15">
        <f>M36*100/H36</f>
        <v>96.681771670808374</v>
      </c>
      <c r="O36" s="15">
        <f t="shared" ref="O36:S36" si="74">SUM(O24:O35)</f>
        <v>146944.68</v>
      </c>
      <c r="P36" s="15">
        <f>O36*100/I36</f>
        <v>98.416940194625454</v>
      </c>
      <c r="Q36" s="15">
        <f t="shared" si="74"/>
        <v>254420.64</v>
      </c>
      <c r="R36" s="15">
        <f>Q36*100/J36</f>
        <v>98.476204366136386</v>
      </c>
      <c r="S36" s="15">
        <f t="shared" si="74"/>
        <v>70570</v>
      </c>
      <c r="T36" s="9">
        <f>S36*100/K36</f>
        <v>46.503122667883552</v>
      </c>
      <c r="U36" s="4">
        <f>SUM(U24:U35)</f>
        <v>620497.43999999994</v>
      </c>
      <c r="V36" s="7">
        <f>SUM(V24:V35)</f>
        <v>179882.64323971601</v>
      </c>
      <c r="W36" s="7">
        <f t="shared" ref="W36:Y36" si="75">SUM(W24:W35)</f>
        <v>140794.53429696825</v>
      </c>
      <c r="X36" s="7">
        <f t="shared" si="75"/>
        <v>253261.33221138772</v>
      </c>
      <c r="Y36" s="7">
        <f t="shared" si="75"/>
        <v>46559.400251928004</v>
      </c>
      <c r="Z36" s="9">
        <f>SUM(Z24:Z35)</f>
        <v>13121.381599999999</v>
      </c>
      <c r="AA36" s="9">
        <f t="shared" ref="AA36:AD36" si="76">SUM(AA24:AA35)</f>
        <v>3682.6751999999997</v>
      </c>
      <c r="AB36" s="9">
        <f t="shared" si="76"/>
        <v>2938.8935999999999</v>
      </c>
      <c r="AC36" s="9">
        <f t="shared" si="76"/>
        <v>5088.4128000000001</v>
      </c>
      <c r="AD36" s="9">
        <f t="shared" si="76"/>
        <v>1411.4</v>
      </c>
      <c r="AE36" s="9">
        <f t="shared" si="63"/>
        <v>633618.82159999991</v>
      </c>
      <c r="AF36" s="7">
        <f t="shared" si="64"/>
        <v>183565.31843971601</v>
      </c>
      <c r="AG36" s="7">
        <f t="shared" si="65"/>
        <v>143733.42789696826</v>
      </c>
      <c r="AH36" s="7">
        <f t="shared" si="66"/>
        <v>258349.74501138771</v>
      </c>
      <c r="AI36" s="7">
        <f t="shared" si="67"/>
        <v>47970.800251928005</v>
      </c>
      <c r="AJ36" s="11">
        <f t="shared" si="68"/>
        <v>710247.9683999999</v>
      </c>
      <c r="AK36" s="20">
        <f t="shared" si="69"/>
        <v>217164.12523203299</v>
      </c>
      <c r="AL36" s="20">
        <f t="shared" si="70"/>
        <v>175326.37007137071</v>
      </c>
      <c r="AM36" s="20">
        <f t="shared" si="71"/>
        <v>295157.80334852426</v>
      </c>
      <c r="AN36" s="20">
        <f t="shared" si="72"/>
        <v>22599.199748071995</v>
      </c>
    </row>
    <row r="39" spans="1:40" x14ac:dyDescent="0.2">
      <c r="U39" s="3" t="s">
        <v>14</v>
      </c>
    </row>
    <row r="40" spans="1:40" ht="84" x14ac:dyDescent="0.2">
      <c r="A40" s="4" t="s">
        <v>9</v>
      </c>
      <c r="B40" s="5" t="s">
        <v>10</v>
      </c>
      <c r="C40" s="1" t="s">
        <v>18</v>
      </c>
      <c r="D40" s="1" t="s">
        <v>19</v>
      </c>
      <c r="E40" s="1" t="s">
        <v>20</v>
      </c>
      <c r="F40" s="1"/>
      <c r="G40" s="5" t="s">
        <v>0</v>
      </c>
      <c r="H40" s="1" t="s">
        <v>18</v>
      </c>
      <c r="I40" s="1" t="s">
        <v>19</v>
      </c>
      <c r="J40" s="1" t="s">
        <v>20</v>
      </c>
      <c r="K40" s="1"/>
      <c r="L40" s="5" t="s">
        <v>1</v>
      </c>
      <c r="M40" s="1" t="s">
        <v>18</v>
      </c>
      <c r="N40" s="1" t="s">
        <v>2</v>
      </c>
      <c r="O40" s="1" t="s">
        <v>19</v>
      </c>
      <c r="P40" s="1" t="s">
        <v>2</v>
      </c>
      <c r="Q40" s="1" t="s">
        <v>20</v>
      </c>
      <c r="R40" s="1" t="s">
        <v>2</v>
      </c>
      <c r="S40" s="1"/>
      <c r="T40" s="5"/>
      <c r="U40" s="5" t="s">
        <v>16</v>
      </c>
      <c r="V40" s="1" t="s">
        <v>18</v>
      </c>
      <c r="W40" s="1" t="s">
        <v>19</v>
      </c>
      <c r="X40" s="1" t="s">
        <v>20</v>
      </c>
      <c r="Y40" s="1"/>
      <c r="Z40" s="5" t="s">
        <v>3</v>
      </c>
      <c r="AA40" s="1" t="s">
        <v>18</v>
      </c>
      <c r="AB40" s="1" t="s">
        <v>19</v>
      </c>
      <c r="AC40" s="1" t="s">
        <v>20</v>
      </c>
      <c r="AD40" s="1"/>
      <c r="AE40" s="5" t="s">
        <v>6</v>
      </c>
      <c r="AF40" s="1" t="s">
        <v>18</v>
      </c>
      <c r="AG40" s="1" t="s">
        <v>19</v>
      </c>
      <c r="AH40" s="1" t="s">
        <v>20</v>
      </c>
      <c r="AI40" s="1"/>
      <c r="AJ40" s="5" t="s">
        <v>5</v>
      </c>
      <c r="AK40" s="1" t="s">
        <v>18</v>
      </c>
      <c r="AL40" s="1" t="s">
        <v>19</v>
      </c>
      <c r="AM40" s="1" t="s">
        <v>20</v>
      </c>
      <c r="AN40" s="16"/>
    </row>
    <row r="41" spans="1:40" x14ac:dyDescent="0.2">
      <c r="A41" s="6">
        <v>42736</v>
      </c>
      <c r="B41" s="4">
        <v>30151.439999999999</v>
      </c>
      <c r="C41" s="9">
        <f>B41*0.2830826</f>
        <v>8535.3480289439995</v>
      </c>
      <c r="D41" s="9">
        <f>B41*0.2210508</f>
        <v>6664.9999331519994</v>
      </c>
      <c r="E41" s="9">
        <f>B41*0.4958666</f>
        <v>14951.092037904</v>
      </c>
      <c r="F41" s="9"/>
      <c r="G41" s="2">
        <f>H41+I41+J41</f>
        <v>16650</v>
      </c>
      <c r="H41" s="8">
        <v>4725</v>
      </c>
      <c r="I41" s="8">
        <v>3690</v>
      </c>
      <c r="J41" s="8">
        <v>8235</v>
      </c>
      <c r="K41" s="8"/>
      <c r="L41" s="2">
        <f>M41+O41+Q41</f>
        <v>16309.26</v>
      </c>
      <c r="M41" s="8">
        <v>4568.16</v>
      </c>
      <c r="N41" s="8"/>
      <c r="O41" s="8">
        <v>3631.58</v>
      </c>
      <c r="P41" s="8"/>
      <c r="Q41" s="8">
        <v>8109.52</v>
      </c>
      <c r="R41" s="8"/>
      <c r="S41" s="8"/>
      <c r="T41" s="9"/>
      <c r="U41" s="4">
        <v>7690</v>
      </c>
      <c r="V41" s="7">
        <f>U41*0.316172381</f>
        <v>2431.3656098900001</v>
      </c>
      <c r="W41" s="7">
        <f>U41*0.247468807</f>
        <v>1903.0351258300002</v>
      </c>
      <c r="X41" s="7">
        <f>U41*0.436358812</f>
        <v>3355.5992642799997</v>
      </c>
      <c r="Y41" s="10"/>
      <c r="Z41" s="9">
        <f>AA41+AB41+AC41</f>
        <v>326.18520000000001</v>
      </c>
      <c r="AA41" s="7">
        <f>M41*2%</f>
        <v>91.363199999999992</v>
      </c>
      <c r="AB41" s="7">
        <f>O41*2%</f>
        <v>72.631600000000006</v>
      </c>
      <c r="AC41" s="7">
        <f>Q41*2%</f>
        <v>162.19040000000001</v>
      </c>
      <c r="AD41" s="7"/>
      <c r="AE41" s="9">
        <f>Z41+U41</f>
        <v>8016.1851999999999</v>
      </c>
      <c r="AF41" s="7">
        <f>V41+AA41</f>
        <v>2522.7288098899999</v>
      </c>
      <c r="AG41" s="7">
        <f>W41+AB41</f>
        <v>1975.6667258300001</v>
      </c>
      <c r="AH41" s="7">
        <f>X41+AC41</f>
        <v>3517.7896642799997</v>
      </c>
      <c r="AI41" s="7"/>
      <c r="AJ41" s="11">
        <f>L41-AE41+B41</f>
        <v>38444.514799999997</v>
      </c>
      <c r="AK41" s="20">
        <f>M41-AF41+C41</f>
        <v>10580.779219053999</v>
      </c>
      <c r="AL41" s="20">
        <f>O41-AG41+D41</f>
        <v>8320.9132073219989</v>
      </c>
      <c r="AM41" s="20">
        <f>Q41-AH41+E41</f>
        <v>19542.822373624</v>
      </c>
      <c r="AN41" s="17"/>
    </row>
    <row r="42" spans="1:40" x14ac:dyDescent="0.2">
      <c r="A42" s="6">
        <v>42767</v>
      </c>
      <c r="B42" s="4">
        <v>33442.800000000003</v>
      </c>
      <c r="C42" s="9">
        <f t="shared" ref="C42:C52" si="77">B42*0.2830826</f>
        <v>9467.0747752800016</v>
      </c>
      <c r="D42" s="9">
        <f t="shared" ref="D42:D52" si="78">B42*0.2210508</f>
        <v>7392.5576942400003</v>
      </c>
      <c r="E42" s="9">
        <f t="shared" ref="E42:E52" si="79">B42*0.4958666</f>
        <v>16583.167530480001</v>
      </c>
      <c r="F42" s="9"/>
      <c r="G42" s="2">
        <f t="shared" ref="G42:G52" si="80">H42+I42+J42</f>
        <v>16650</v>
      </c>
      <c r="H42" s="8">
        <v>4725</v>
      </c>
      <c r="I42" s="8">
        <v>3690</v>
      </c>
      <c r="J42" s="8">
        <v>8235</v>
      </c>
      <c r="K42" s="8"/>
      <c r="L42" s="2">
        <f t="shared" ref="L42:L52" si="81">M42+O42+Q42</f>
        <v>16309.26</v>
      </c>
      <c r="M42" s="8">
        <v>4568.16</v>
      </c>
      <c r="N42" s="8"/>
      <c r="O42" s="8">
        <v>3631.58</v>
      </c>
      <c r="P42" s="8"/>
      <c r="Q42" s="8">
        <v>8109.52</v>
      </c>
      <c r="R42" s="8"/>
      <c r="S42" s="8"/>
      <c r="T42" s="9"/>
      <c r="U42" s="4">
        <v>2400</v>
      </c>
      <c r="V42" s="7">
        <f t="shared" ref="V42:V52" si="82">U42*0.316172381</f>
        <v>758.81371439999998</v>
      </c>
      <c r="W42" s="7">
        <f t="shared" ref="W42:W52" si="83">U42*0.247468807</f>
        <v>593.92513680000002</v>
      </c>
      <c r="X42" s="7">
        <f t="shared" ref="X42:X52" si="84">U42*0.436358812</f>
        <v>1047.2611488</v>
      </c>
      <c r="Y42" s="7"/>
      <c r="Z42" s="9">
        <f t="shared" ref="Z42:Z52" si="85">AA42+AB42+AC42</f>
        <v>326.18520000000001</v>
      </c>
      <c r="AA42" s="7">
        <f t="shared" ref="AA42:AA52" si="86">M42*2%</f>
        <v>91.363199999999992</v>
      </c>
      <c r="AB42" s="7">
        <f t="shared" ref="AB42:AB52" si="87">O42*2%</f>
        <v>72.631600000000006</v>
      </c>
      <c r="AC42" s="7">
        <f t="shared" ref="AC42:AC52" si="88">Q42*2%</f>
        <v>162.19040000000001</v>
      </c>
      <c r="AD42" s="7"/>
      <c r="AE42" s="9">
        <f t="shared" ref="AE42:AE53" si="89">Z42+U42</f>
        <v>2726.1851999999999</v>
      </c>
      <c r="AF42" s="7">
        <f t="shared" ref="AF42:AF53" si="90">V42+AA42</f>
        <v>850.17691439999999</v>
      </c>
      <c r="AG42" s="7">
        <f t="shared" ref="AG42:AG53" si="91">W42+AB42</f>
        <v>666.55673680000007</v>
      </c>
      <c r="AH42" s="7">
        <f t="shared" ref="AH42:AH53" si="92">X42+AC42</f>
        <v>1209.4515488</v>
      </c>
      <c r="AI42" s="7"/>
      <c r="AJ42" s="11">
        <f t="shared" ref="AJ42:AJ52" si="93">L42-AE42+B42</f>
        <v>47025.874800000005</v>
      </c>
      <c r="AK42" s="20">
        <f t="shared" ref="AK42:AK52" si="94">M42-AF42+C42</f>
        <v>13185.057860880002</v>
      </c>
      <c r="AL42" s="20">
        <f t="shared" ref="AL42:AL52" si="95">O42-AG42+D42</f>
        <v>10357.580957440001</v>
      </c>
      <c r="AM42" s="20">
        <f t="shared" ref="AM42:AM52" si="96">Q42-AH42+E42</f>
        <v>23483.235981680002</v>
      </c>
      <c r="AN42" s="17"/>
    </row>
    <row r="43" spans="1:40" x14ac:dyDescent="0.2">
      <c r="A43" s="6">
        <v>42795</v>
      </c>
      <c r="B43" s="4">
        <v>40162.019999999997</v>
      </c>
      <c r="C43" s="9">
        <f t="shared" si="77"/>
        <v>11369.169042852</v>
      </c>
      <c r="D43" s="9">
        <f t="shared" si="78"/>
        <v>8877.8466506159984</v>
      </c>
      <c r="E43" s="9">
        <f t="shared" si="79"/>
        <v>19915.004306531999</v>
      </c>
      <c r="F43" s="9"/>
      <c r="G43" s="2">
        <f t="shared" si="80"/>
        <v>16650</v>
      </c>
      <c r="H43" s="8">
        <v>4725</v>
      </c>
      <c r="I43" s="8">
        <v>3690</v>
      </c>
      <c r="J43" s="8">
        <v>8235</v>
      </c>
      <c r="K43" s="8"/>
      <c r="L43" s="2">
        <f t="shared" si="81"/>
        <v>16309.26</v>
      </c>
      <c r="M43" s="8">
        <v>4568.16</v>
      </c>
      <c r="N43" s="8"/>
      <c r="O43" s="8">
        <v>3631.58</v>
      </c>
      <c r="P43" s="8"/>
      <c r="Q43" s="8">
        <v>8109.52</v>
      </c>
      <c r="R43" s="8"/>
      <c r="S43" s="8"/>
      <c r="T43" s="9"/>
      <c r="U43" s="4">
        <v>2819</v>
      </c>
      <c r="V43" s="7">
        <f t="shared" si="82"/>
        <v>891.28994203900004</v>
      </c>
      <c r="W43" s="7">
        <f t="shared" si="83"/>
        <v>697.61456693299999</v>
      </c>
      <c r="X43" s="7">
        <f t="shared" si="84"/>
        <v>1230.095491028</v>
      </c>
      <c r="Y43" s="7"/>
      <c r="Z43" s="9">
        <f t="shared" si="85"/>
        <v>326.18520000000001</v>
      </c>
      <c r="AA43" s="7">
        <f t="shared" si="86"/>
        <v>91.363199999999992</v>
      </c>
      <c r="AB43" s="7">
        <f t="shared" si="87"/>
        <v>72.631600000000006</v>
      </c>
      <c r="AC43" s="7">
        <f t="shared" si="88"/>
        <v>162.19040000000001</v>
      </c>
      <c r="AD43" s="7"/>
      <c r="AE43" s="9">
        <f t="shared" si="89"/>
        <v>3145.1851999999999</v>
      </c>
      <c r="AF43" s="7">
        <f t="shared" si="90"/>
        <v>982.65314203900004</v>
      </c>
      <c r="AG43" s="7">
        <f t="shared" si="91"/>
        <v>770.24616693300004</v>
      </c>
      <c r="AH43" s="7">
        <f t="shared" si="92"/>
        <v>1392.2858910279999</v>
      </c>
      <c r="AI43" s="7"/>
      <c r="AJ43" s="11">
        <f t="shared" si="93"/>
        <v>53326.094799999999</v>
      </c>
      <c r="AK43" s="20">
        <f t="shared" si="94"/>
        <v>14954.675900812999</v>
      </c>
      <c r="AL43" s="20">
        <f t="shared" si="95"/>
        <v>11739.180483682998</v>
      </c>
      <c r="AM43" s="20">
        <f t="shared" si="96"/>
        <v>26632.238415503998</v>
      </c>
      <c r="AN43" s="17"/>
    </row>
    <row r="44" spans="1:40" x14ac:dyDescent="0.2">
      <c r="A44" s="6">
        <v>42826</v>
      </c>
      <c r="B44" s="4">
        <v>42705.97</v>
      </c>
      <c r="C44" s="9">
        <f t="shared" si="77"/>
        <v>12089.317023122001</v>
      </c>
      <c r="D44" s="9">
        <f t="shared" si="78"/>
        <v>9440.1888332759991</v>
      </c>
      <c r="E44" s="9">
        <f t="shared" si="79"/>
        <v>21176.464143601999</v>
      </c>
      <c r="F44" s="9"/>
      <c r="G44" s="2">
        <f t="shared" si="80"/>
        <v>16650</v>
      </c>
      <c r="H44" s="8">
        <v>4725</v>
      </c>
      <c r="I44" s="8">
        <v>3690</v>
      </c>
      <c r="J44" s="8">
        <v>8235</v>
      </c>
      <c r="K44" s="8"/>
      <c r="L44" s="2">
        <f t="shared" si="81"/>
        <v>16309.26</v>
      </c>
      <c r="M44" s="8">
        <v>4568.16</v>
      </c>
      <c r="N44" s="8"/>
      <c r="O44" s="8">
        <v>3631.58</v>
      </c>
      <c r="P44" s="8"/>
      <c r="Q44" s="8">
        <v>8109.52</v>
      </c>
      <c r="R44" s="8"/>
      <c r="S44" s="8"/>
      <c r="T44" s="9"/>
      <c r="U44" s="4">
        <v>24355</v>
      </c>
      <c r="V44" s="7">
        <f t="shared" si="82"/>
        <v>7700.3783392550004</v>
      </c>
      <c r="W44" s="7">
        <f t="shared" si="83"/>
        <v>6027.1027944850002</v>
      </c>
      <c r="X44" s="7">
        <f t="shared" si="84"/>
        <v>10627.518866259999</v>
      </c>
      <c r="Y44" s="7"/>
      <c r="Z44" s="9">
        <f t="shared" si="85"/>
        <v>326.18520000000001</v>
      </c>
      <c r="AA44" s="7">
        <f t="shared" si="86"/>
        <v>91.363199999999992</v>
      </c>
      <c r="AB44" s="7">
        <f t="shared" si="87"/>
        <v>72.631600000000006</v>
      </c>
      <c r="AC44" s="7">
        <f t="shared" si="88"/>
        <v>162.19040000000001</v>
      </c>
      <c r="AD44" s="7"/>
      <c r="AE44" s="9">
        <f t="shared" si="89"/>
        <v>24681.1852</v>
      </c>
      <c r="AF44" s="7">
        <f t="shared" si="90"/>
        <v>7791.7415392550001</v>
      </c>
      <c r="AG44" s="7">
        <f t="shared" si="91"/>
        <v>6099.7343944849999</v>
      </c>
      <c r="AH44" s="7">
        <f t="shared" si="92"/>
        <v>10789.709266259999</v>
      </c>
      <c r="AI44" s="7"/>
      <c r="AJ44" s="11">
        <f t="shared" si="93"/>
        <v>34334.044800000003</v>
      </c>
      <c r="AK44" s="20">
        <f t="shared" si="94"/>
        <v>8865.7354838669999</v>
      </c>
      <c r="AL44" s="20">
        <f t="shared" si="95"/>
        <v>6972.034438790999</v>
      </c>
      <c r="AM44" s="20">
        <f t="shared" si="96"/>
        <v>18496.274877342003</v>
      </c>
      <c r="AN44" s="17"/>
    </row>
    <row r="45" spans="1:40" x14ac:dyDescent="0.2">
      <c r="A45" s="6">
        <v>42856</v>
      </c>
      <c r="B45" s="4">
        <v>37123.300000000003</v>
      </c>
      <c r="C45" s="9">
        <f t="shared" si="77"/>
        <v>10508.960284580002</v>
      </c>
      <c r="D45" s="9">
        <f t="shared" si="78"/>
        <v>8206.1351636399995</v>
      </c>
      <c r="E45" s="9">
        <f t="shared" si="79"/>
        <v>18408.20455178</v>
      </c>
      <c r="F45" s="9"/>
      <c r="G45" s="2">
        <f t="shared" si="80"/>
        <v>16650</v>
      </c>
      <c r="H45" s="8">
        <v>4725</v>
      </c>
      <c r="I45" s="8">
        <v>3690</v>
      </c>
      <c r="J45" s="8">
        <v>8235</v>
      </c>
      <c r="K45" s="8"/>
      <c r="L45" s="2">
        <f t="shared" si="81"/>
        <v>16309.26</v>
      </c>
      <c r="M45" s="8">
        <v>4568.16</v>
      </c>
      <c r="N45" s="8"/>
      <c r="O45" s="8">
        <v>3631.58</v>
      </c>
      <c r="P45" s="8"/>
      <c r="Q45" s="8">
        <v>8109.52</v>
      </c>
      <c r="R45" s="8"/>
      <c r="S45" s="8"/>
      <c r="T45" s="9"/>
      <c r="U45" s="4">
        <v>3470</v>
      </c>
      <c r="V45" s="7">
        <f t="shared" si="82"/>
        <v>1097.1181620699999</v>
      </c>
      <c r="W45" s="7">
        <f t="shared" si="83"/>
        <v>858.71676029000002</v>
      </c>
      <c r="X45" s="7">
        <f t="shared" si="84"/>
        <v>1514.1650776399999</v>
      </c>
      <c r="Y45" s="7"/>
      <c r="Z45" s="9">
        <f t="shared" si="85"/>
        <v>326.18520000000001</v>
      </c>
      <c r="AA45" s="7">
        <f t="shared" si="86"/>
        <v>91.363199999999992</v>
      </c>
      <c r="AB45" s="7">
        <f t="shared" si="87"/>
        <v>72.631600000000006</v>
      </c>
      <c r="AC45" s="7">
        <f t="shared" si="88"/>
        <v>162.19040000000001</v>
      </c>
      <c r="AD45" s="7"/>
      <c r="AE45" s="9">
        <f t="shared" si="89"/>
        <v>3796.1851999999999</v>
      </c>
      <c r="AF45" s="7">
        <f t="shared" si="90"/>
        <v>1188.4813620699999</v>
      </c>
      <c r="AG45" s="7">
        <f t="shared" si="91"/>
        <v>931.34836029000007</v>
      </c>
      <c r="AH45" s="7">
        <f t="shared" si="92"/>
        <v>1676.3554776399999</v>
      </c>
      <c r="AI45" s="7"/>
      <c r="AJ45" s="11">
        <f t="shared" si="93"/>
        <v>49636.374800000005</v>
      </c>
      <c r="AK45" s="20">
        <f t="shared" si="94"/>
        <v>13888.638922510003</v>
      </c>
      <c r="AL45" s="20">
        <f t="shared" si="95"/>
        <v>10906.36680335</v>
      </c>
      <c r="AM45" s="20">
        <f t="shared" si="96"/>
        <v>24841.369074139999</v>
      </c>
      <c r="AN45" s="17"/>
    </row>
    <row r="46" spans="1:40" x14ac:dyDescent="0.2">
      <c r="A46" s="6">
        <v>42887</v>
      </c>
      <c r="B46" s="4">
        <v>34707.08</v>
      </c>
      <c r="C46" s="9">
        <f t="shared" si="77"/>
        <v>9824.970444808001</v>
      </c>
      <c r="D46" s="9">
        <f t="shared" si="78"/>
        <v>7672.0277996639998</v>
      </c>
      <c r="E46" s="9">
        <f t="shared" si="79"/>
        <v>17210.081755528001</v>
      </c>
      <c r="F46" s="9"/>
      <c r="G46" s="2">
        <f t="shared" si="80"/>
        <v>16650</v>
      </c>
      <c r="H46" s="8">
        <v>4725</v>
      </c>
      <c r="I46" s="8">
        <v>3690</v>
      </c>
      <c r="J46" s="8">
        <v>8235</v>
      </c>
      <c r="K46" s="8"/>
      <c r="L46" s="2">
        <f t="shared" si="81"/>
        <v>16309.26</v>
      </c>
      <c r="M46" s="8">
        <v>4568.16</v>
      </c>
      <c r="N46" s="8"/>
      <c r="O46" s="8">
        <v>3631.58</v>
      </c>
      <c r="P46" s="8"/>
      <c r="Q46" s="8">
        <v>8109.52</v>
      </c>
      <c r="R46" s="8"/>
      <c r="S46" s="8"/>
      <c r="T46" s="9"/>
      <c r="U46" s="4"/>
      <c r="V46" s="7">
        <f t="shared" si="82"/>
        <v>0</v>
      </c>
      <c r="W46" s="7">
        <f t="shared" si="83"/>
        <v>0</v>
      </c>
      <c r="X46" s="7">
        <f t="shared" si="84"/>
        <v>0</v>
      </c>
      <c r="Y46" s="7"/>
      <c r="Z46" s="9">
        <f t="shared" si="85"/>
        <v>326.18520000000001</v>
      </c>
      <c r="AA46" s="7">
        <f t="shared" si="86"/>
        <v>91.363199999999992</v>
      </c>
      <c r="AB46" s="7">
        <f t="shared" si="87"/>
        <v>72.631600000000006</v>
      </c>
      <c r="AC46" s="7">
        <f t="shared" si="88"/>
        <v>162.19040000000001</v>
      </c>
      <c r="AD46" s="7"/>
      <c r="AE46" s="9">
        <f t="shared" si="89"/>
        <v>326.18520000000001</v>
      </c>
      <c r="AF46" s="7">
        <f t="shared" si="90"/>
        <v>91.363199999999992</v>
      </c>
      <c r="AG46" s="7">
        <f t="shared" si="91"/>
        <v>72.631600000000006</v>
      </c>
      <c r="AH46" s="7">
        <f t="shared" si="92"/>
        <v>162.19040000000001</v>
      </c>
      <c r="AI46" s="7"/>
      <c r="AJ46" s="11">
        <f t="shared" si="93"/>
        <v>50690.154800000004</v>
      </c>
      <c r="AK46" s="20">
        <f t="shared" si="94"/>
        <v>14301.767244808001</v>
      </c>
      <c r="AL46" s="20">
        <f t="shared" si="95"/>
        <v>11230.976199663999</v>
      </c>
      <c r="AM46" s="20">
        <f t="shared" si="96"/>
        <v>25157.411355528002</v>
      </c>
      <c r="AN46" s="17"/>
    </row>
    <row r="47" spans="1:40" x14ac:dyDescent="0.2">
      <c r="A47" s="6">
        <v>42917</v>
      </c>
      <c r="B47" s="4">
        <v>28596.93</v>
      </c>
      <c r="C47" s="9">
        <f t="shared" si="77"/>
        <v>8095.2932964180009</v>
      </c>
      <c r="D47" s="9">
        <f t="shared" si="78"/>
        <v>6321.3742540439998</v>
      </c>
      <c r="E47" s="9">
        <f t="shared" si="79"/>
        <v>14180.262449538001</v>
      </c>
      <c r="F47" s="9"/>
      <c r="G47" s="2">
        <f t="shared" si="80"/>
        <v>16650</v>
      </c>
      <c r="H47" s="8">
        <v>4725</v>
      </c>
      <c r="I47" s="8">
        <v>3690</v>
      </c>
      <c r="J47" s="8">
        <v>8235</v>
      </c>
      <c r="K47" s="8"/>
      <c r="L47" s="2">
        <f t="shared" si="81"/>
        <v>16309.26</v>
      </c>
      <c r="M47" s="8">
        <v>4568.16</v>
      </c>
      <c r="N47" s="8"/>
      <c r="O47" s="8">
        <v>3631.58</v>
      </c>
      <c r="P47" s="8"/>
      <c r="Q47" s="8">
        <v>8109.52</v>
      </c>
      <c r="R47" s="8"/>
      <c r="S47" s="8"/>
      <c r="T47" s="9"/>
      <c r="U47" s="4"/>
      <c r="V47" s="7">
        <f t="shared" si="82"/>
        <v>0</v>
      </c>
      <c r="W47" s="7">
        <f t="shared" si="83"/>
        <v>0</v>
      </c>
      <c r="X47" s="7">
        <f t="shared" si="84"/>
        <v>0</v>
      </c>
      <c r="Y47" s="7"/>
      <c r="Z47" s="9">
        <f t="shared" si="85"/>
        <v>326.18520000000001</v>
      </c>
      <c r="AA47" s="7">
        <f t="shared" si="86"/>
        <v>91.363199999999992</v>
      </c>
      <c r="AB47" s="7">
        <f t="shared" si="87"/>
        <v>72.631600000000006</v>
      </c>
      <c r="AC47" s="7">
        <f t="shared" si="88"/>
        <v>162.19040000000001</v>
      </c>
      <c r="AD47" s="7"/>
      <c r="AE47" s="9">
        <f t="shared" si="89"/>
        <v>326.18520000000001</v>
      </c>
      <c r="AF47" s="7">
        <f t="shared" si="90"/>
        <v>91.363199999999992</v>
      </c>
      <c r="AG47" s="7">
        <f t="shared" si="91"/>
        <v>72.631600000000006</v>
      </c>
      <c r="AH47" s="7">
        <f t="shared" si="92"/>
        <v>162.19040000000001</v>
      </c>
      <c r="AI47" s="7"/>
      <c r="AJ47" s="11">
        <f t="shared" si="93"/>
        <v>44580.004800000002</v>
      </c>
      <c r="AK47" s="20">
        <f t="shared" si="94"/>
        <v>12572.090096418</v>
      </c>
      <c r="AL47" s="20">
        <f t="shared" si="95"/>
        <v>9880.3226540439991</v>
      </c>
      <c r="AM47" s="20">
        <f t="shared" si="96"/>
        <v>22127.592049538001</v>
      </c>
      <c r="AN47" s="17"/>
    </row>
    <row r="48" spans="1:40" x14ac:dyDescent="0.2">
      <c r="A48" s="6">
        <v>42948</v>
      </c>
      <c r="B48" s="4">
        <v>39381.97</v>
      </c>
      <c r="C48" s="9">
        <f t="shared" si="77"/>
        <v>11148.350460722</v>
      </c>
      <c r="D48" s="9">
        <f t="shared" si="78"/>
        <v>8705.4159740760006</v>
      </c>
      <c r="E48" s="9">
        <f t="shared" si="79"/>
        <v>19528.203565201999</v>
      </c>
      <c r="F48" s="9"/>
      <c r="G48" s="2">
        <f t="shared" si="80"/>
        <v>16650</v>
      </c>
      <c r="H48" s="8">
        <v>4725</v>
      </c>
      <c r="I48" s="8">
        <v>3690</v>
      </c>
      <c r="J48" s="8">
        <v>8235</v>
      </c>
      <c r="K48" s="8"/>
      <c r="L48" s="2">
        <f t="shared" si="81"/>
        <v>16309.26</v>
      </c>
      <c r="M48" s="8">
        <v>4568.16</v>
      </c>
      <c r="N48" s="8"/>
      <c r="O48" s="8">
        <v>3631.58</v>
      </c>
      <c r="P48" s="8"/>
      <c r="Q48" s="8">
        <v>8109.52</v>
      </c>
      <c r="R48" s="8"/>
      <c r="S48" s="8"/>
      <c r="T48" s="9"/>
      <c r="U48" s="4">
        <v>1790</v>
      </c>
      <c r="V48" s="7">
        <f t="shared" si="82"/>
        <v>565.94856199000003</v>
      </c>
      <c r="W48" s="7">
        <f t="shared" si="83"/>
        <v>442.96916453</v>
      </c>
      <c r="X48" s="7">
        <f t="shared" si="84"/>
        <v>781.08227348000003</v>
      </c>
      <c r="Y48" s="7"/>
      <c r="Z48" s="9">
        <f t="shared" si="85"/>
        <v>326.18520000000001</v>
      </c>
      <c r="AA48" s="7">
        <f t="shared" si="86"/>
        <v>91.363199999999992</v>
      </c>
      <c r="AB48" s="7">
        <f t="shared" si="87"/>
        <v>72.631600000000006</v>
      </c>
      <c r="AC48" s="7">
        <f t="shared" si="88"/>
        <v>162.19040000000001</v>
      </c>
      <c r="AD48" s="7"/>
      <c r="AE48" s="9">
        <f t="shared" si="89"/>
        <v>2116.1851999999999</v>
      </c>
      <c r="AF48" s="7">
        <f t="shared" si="90"/>
        <v>657.31176199000004</v>
      </c>
      <c r="AG48" s="7">
        <f t="shared" si="91"/>
        <v>515.60076452999999</v>
      </c>
      <c r="AH48" s="7">
        <f t="shared" si="92"/>
        <v>943.27267348000009</v>
      </c>
      <c r="AI48" s="7"/>
      <c r="AJ48" s="11">
        <f t="shared" si="93"/>
        <v>53575.044800000003</v>
      </c>
      <c r="AK48" s="20">
        <f t="shared" si="94"/>
        <v>15059.198698732</v>
      </c>
      <c r="AL48" s="20">
        <f t="shared" si="95"/>
        <v>11821.395209546001</v>
      </c>
      <c r="AM48" s="20">
        <f t="shared" si="96"/>
        <v>26694.450891722001</v>
      </c>
      <c r="AN48" s="17"/>
    </row>
    <row r="49" spans="1:57" x14ac:dyDescent="0.2">
      <c r="A49" s="6">
        <v>42979</v>
      </c>
      <c r="B49" s="4">
        <v>26634.12</v>
      </c>
      <c r="C49" s="9">
        <f t="shared" si="77"/>
        <v>7539.6559383120002</v>
      </c>
      <c r="D49" s="9">
        <f t="shared" si="78"/>
        <v>5887.4935332959994</v>
      </c>
      <c r="E49" s="9">
        <f t="shared" si="79"/>
        <v>13206.970528391999</v>
      </c>
      <c r="F49" s="9"/>
      <c r="G49" s="2">
        <f t="shared" si="80"/>
        <v>16650</v>
      </c>
      <c r="H49" s="8">
        <v>4725</v>
      </c>
      <c r="I49" s="8">
        <v>3690</v>
      </c>
      <c r="J49" s="8">
        <v>8235</v>
      </c>
      <c r="K49" s="8"/>
      <c r="L49" s="2">
        <f t="shared" si="81"/>
        <v>16309.26</v>
      </c>
      <c r="M49" s="8">
        <v>4568.16</v>
      </c>
      <c r="N49" s="8"/>
      <c r="O49" s="8">
        <v>3631.58</v>
      </c>
      <c r="P49" s="8"/>
      <c r="Q49" s="8">
        <v>8109.52</v>
      </c>
      <c r="R49" s="8"/>
      <c r="S49" s="8"/>
      <c r="T49" s="9"/>
      <c r="U49" s="4">
        <v>1950</v>
      </c>
      <c r="V49" s="7">
        <f t="shared" si="82"/>
        <v>616.53614295</v>
      </c>
      <c r="W49" s="7">
        <f t="shared" si="83"/>
        <v>482.56417365000004</v>
      </c>
      <c r="X49" s="7">
        <f t="shared" si="84"/>
        <v>850.89968339999996</v>
      </c>
      <c r="Y49" s="7"/>
      <c r="Z49" s="9">
        <f t="shared" si="85"/>
        <v>326.18520000000001</v>
      </c>
      <c r="AA49" s="7">
        <f t="shared" si="86"/>
        <v>91.363199999999992</v>
      </c>
      <c r="AB49" s="7">
        <f t="shared" si="87"/>
        <v>72.631600000000006</v>
      </c>
      <c r="AC49" s="7">
        <f t="shared" si="88"/>
        <v>162.19040000000001</v>
      </c>
      <c r="AD49" s="7"/>
      <c r="AE49" s="9">
        <f t="shared" si="89"/>
        <v>2276.1851999999999</v>
      </c>
      <c r="AF49" s="7">
        <f t="shared" si="90"/>
        <v>707.89934295</v>
      </c>
      <c r="AG49" s="7">
        <f t="shared" si="91"/>
        <v>555.19577365000009</v>
      </c>
      <c r="AH49" s="7">
        <f t="shared" si="92"/>
        <v>1013.0900833999999</v>
      </c>
      <c r="AI49" s="7"/>
      <c r="AJ49" s="11">
        <f t="shared" si="93"/>
        <v>40667.194799999997</v>
      </c>
      <c r="AK49" s="20">
        <f t="shared" si="94"/>
        <v>11399.916595361999</v>
      </c>
      <c r="AL49" s="20">
        <f t="shared" si="95"/>
        <v>8963.8777596459986</v>
      </c>
      <c r="AM49" s="20">
        <f t="shared" si="96"/>
        <v>20303.400444991999</v>
      </c>
      <c r="AN49" s="17"/>
    </row>
    <row r="50" spans="1:57" x14ac:dyDescent="0.2">
      <c r="A50" s="6">
        <v>43009</v>
      </c>
      <c r="B50" s="4">
        <v>-23205.39</v>
      </c>
      <c r="C50" s="9">
        <f t="shared" si="77"/>
        <v>-6569.0421352140002</v>
      </c>
      <c r="D50" s="9">
        <f t="shared" si="78"/>
        <v>-5129.5700238119998</v>
      </c>
      <c r="E50" s="9">
        <f t="shared" si="79"/>
        <v>-11506.777840974</v>
      </c>
      <c r="F50" s="9"/>
      <c r="G50" s="2">
        <f t="shared" si="80"/>
        <v>16650</v>
      </c>
      <c r="H50" s="8">
        <v>4725</v>
      </c>
      <c r="I50" s="8">
        <v>3690</v>
      </c>
      <c r="J50" s="8">
        <v>8235</v>
      </c>
      <c r="K50" s="8"/>
      <c r="L50" s="2">
        <f t="shared" si="81"/>
        <v>16309.26</v>
      </c>
      <c r="M50" s="8">
        <v>4568.16</v>
      </c>
      <c r="N50" s="8"/>
      <c r="O50" s="8">
        <v>3631.58</v>
      </c>
      <c r="P50" s="8"/>
      <c r="Q50" s="8">
        <v>8109.52</v>
      </c>
      <c r="R50" s="8"/>
      <c r="S50" s="8"/>
      <c r="T50" s="9"/>
      <c r="U50" s="4">
        <v>1190</v>
      </c>
      <c r="V50" s="7">
        <f t="shared" si="82"/>
        <v>376.24513338999998</v>
      </c>
      <c r="W50" s="7">
        <f t="shared" si="83"/>
        <v>294.48788033</v>
      </c>
      <c r="X50" s="7">
        <f t="shared" si="84"/>
        <v>519.26698627999997</v>
      </c>
      <c r="Y50" s="7"/>
      <c r="Z50" s="9">
        <f t="shared" si="85"/>
        <v>326.18520000000001</v>
      </c>
      <c r="AA50" s="7">
        <f t="shared" si="86"/>
        <v>91.363199999999992</v>
      </c>
      <c r="AB50" s="7">
        <f t="shared" si="87"/>
        <v>72.631600000000006</v>
      </c>
      <c r="AC50" s="7">
        <f t="shared" si="88"/>
        <v>162.19040000000001</v>
      </c>
      <c r="AD50" s="7"/>
      <c r="AE50" s="9">
        <f t="shared" si="89"/>
        <v>1516.1851999999999</v>
      </c>
      <c r="AF50" s="7">
        <f t="shared" si="90"/>
        <v>467.60833338999998</v>
      </c>
      <c r="AG50" s="7">
        <f t="shared" si="91"/>
        <v>367.11948032999999</v>
      </c>
      <c r="AH50" s="7">
        <f t="shared" si="92"/>
        <v>681.45738628000004</v>
      </c>
      <c r="AI50" s="7"/>
      <c r="AJ50" s="11">
        <f t="shared" si="93"/>
        <v>-8412.3151999999991</v>
      </c>
      <c r="AK50" s="20">
        <f t="shared" si="94"/>
        <v>-2468.4904686039999</v>
      </c>
      <c r="AL50" s="20">
        <f t="shared" si="95"/>
        <v>-1865.1095041419999</v>
      </c>
      <c r="AM50" s="20">
        <f t="shared" si="96"/>
        <v>-4078.7152272539997</v>
      </c>
      <c r="AN50" s="17"/>
    </row>
    <row r="51" spans="1:57" x14ac:dyDescent="0.2">
      <c r="A51" s="6">
        <v>43040</v>
      </c>
      <c r="B51" s="4">
        <v>-7497.16</v>
      </c>
      <c r="C51" s="9">
        <f t="shared" si="77"/>
        <v>-2122.3155454160001</v>
      </c>
      <c r="D51" s="9">
        <f t="shared" si="78"/>
        <v>-1657.253215728</v>
      </c>
      <c r="E51" s="9">
        <f t="shared" si="79"/>
        <v>-3717.591238856</v>
      </c>
      <c r="F51" s="9"/>
      <c r="G51" s="2">
        <f t="shared" si="80"/>
        <v>16650</v>
      </c>
      <c r="H51" s="8">
        <v>4725</v>
      </c>
      <c r="I51" s="8">
        <v>3690</v>
      </c>
      <c r="J51" s="8">
        <v>8235</v>
      </c>
      <c r="K51" s="8"/>
      <c r="L51" s="2">
        <f t="shared" si="81"/>
        <v>16309.26</v>
      </c>
      <c r="M51" s="8">
        <v>4568.16</v>
      </c>
      <c r="N51" s="8"/>
      <c r="O51" s="8">
        <v>3631.58</v>
      </c>
      <c r="P51" s="8"/>
      <c r="Q51" s="8">
        <v>8109.52</v>
      </c>
      <c r="R51" s="8"/>
      <c r="S51" s="8"/>
      <c r="T51" s="9"/>
      <c r="U51" s="4">
        <v>3125</v>
      </c>
      <c r="V51" s="7">
        <f t="shared" si="82"/>
        <v>988.03869062499996</v>
      </c>
      <c r="W51" s="7">
        <f t="shared" si="83"/>
        <v>773.34002187500005</v>
      </c>
      <c r="X51" s="7">
        <f t="shared" si="84"/>
        <v>1363.6212874999999</v>
      </c>
      <c r="Y51" s="7"/>
      <c r="Z51" s="9">
        <f t="shared" si="85"/>
        <v>326.18520000000001</v>
      </c>
      <c r="AA51" s="7">
        <f t="shared" si="86"/>
        <v>91.363199999999992</v>
      </c>
      <c r="AB51" s="7">
        <f t="shared" si="87"/>
        <v>72.631600000000006</v>
      </c>
      <c r="AC51" s="7">
        <f t="shared" si="88"/>
        <v>162.19040000000001</v>
      </c>
      <c r="AD51" s="7"/>
      <c r="AE51" s="9">
        <f t="shared" si="89"/>
        <v>3451.1851999999999</v>
      </c>
      <c r="AF51" s="7">
        <f t="shared" si="90"/>
        <v>1079.4018906249999</v>
      </c>
      <c r="AG51" s="7">
        <f t="shared" si="91"/>
        <v>845.9716218750001</v>
      </c>
      <c r="AH51" s="7">
        <f t="shared" si="92"/>
        <v>1525.8116874999998</v>
      </c>
      <c r="AI51" s="7"/>
      <c r="AJ51" s="11">
        <f t="shared" si="93"/>
        <v>5360.9148000000005</v>
      </c>
      <c r="AK51" s="20">
        <f t="shared" si="94"/>
        <v>1366.4425639589999</v>
      </c>
      <c r="AL51" s="20">
        <f t="shared" si="95"/>
        <v>1128.355162397</v>
      </c>
      <c r="AM51" s="20">
        <f t="shared" si="96"/>
        <v>2866.1170736440008</v>
      </c>
      <c r="AN51" s="17"/>
    </row>
    <row r="52" spans="1:57" x14ac:dyDescent="0.2">
      <c r="A52" s="6">
        <v>43070</v>
      </c>
      <c r="B52" s="4">
        <v>42163.09</v>
      </c>
      <c r="C52" s="9">
        <f t="shared" si="77"/>
        <v>11935.637141234</v>
      </c>
      <c r="D52" s="9">
        <f t="shared" si="78"/>
        <v>9320.1847749719982</v>
      </c>
      <c r="E52" s="9">
        <f t="shared" si="79"/>
        <v>20907.268083793999</v>
      </c>
      <c r="F52" s="9"/>
      <c r="G52" s="2">
        <f t="shared" si="80"/>
        <v>16650</v>
      </c>
      <c r="H52" s="8">
        <v>4725</v>
      </c>
      <c r="I52" s="8">
        <v>3690</v>
      </c>
      <c r="J52" s="8">
        <v>8235</v>
      </c>
      <c r="K52" s="8"/>
      <c r="L52" s="2">
        <f t="shared" si="81"/>
        <v>16309.26</v>
      </c>
      <c r="M52" s="8">
        <v>4568.16</v>
      </c>
      <c r="N52" s="8"/>
      <c r="O52" s="8">
        <v>3631.58</v>
      </c>
      <c r="P52" s="8"/>
      <c r="Q52" s="8">
        <v>8109.52</v>
      </c>
      <c r="R52" s="8"/>
      <c r="S52" s="8"/>
      <c r="T52" s="9"/>
      <c r="U52" s="4">
        <v>2280</v>
      </c>
      <c r="V52" s="7">
        <f t="shared" si="82"/>
        <v>720.87302868000006</v>
      </c>
      <c r="W52" s="7">
        <f t="shared" si="83"/>
        <v>564.22887996000009</v>
      </c>
      <c r="X52" s="7">
        <f t="shared" si="84"/>
        <v>994.89809135999997</v>
      </c>
      <c r="Y52" s="7"/>
      <c r="Z52" s="9">
        <f t="shared" si="85"/>
        <v>326.18520000000001</v>
      </c>
      <c r="AA52" s="7">
        <f t="shared" si="86"/>
        <v>91.363199999999992</v>
      </c>
      <c r="AB52" s="7">
        <f t="shared" si="87"/>
        <v>72.631600000000006</v>
      </c>
      <c r="AC52" s="7">
        <f t="shared" si="88"/>
        <v>162.19040000000001</v>
      </c>
      <c r="AD52" s="7"/>
      <c r="AE52" s="9">
        <f t="shared" si="89"/>
        <v>2606.1851999999999</v>
      </c>
      <c r="AF52" s="7">
        <f t="shared" si="90"/>
        <v>812.23622868000007</v>
      </c>
      <c r="AG52" s="7">
        <f t="shared" si="91"/>
        <v>636.86047996000013</v>
      </c>
      <c r="AH52" s="7">
        <f t="shared" si="92"/>
        <v>1157.08849136</v>
      </c>
      <c r="AI52" s="7"/>
      <c r="AJ52" s="11">
        <f t="shared" si="93"/>
        <v>55866.164799999999</v>
      </c>
      <c r="AK52" s="20">
        <f t="shared" si="94"/>
        <v>15691.560912554</v>
      </c>
      <c r="AL52" s="20">
        <f t="shared" si="95"/>
        <v>12314.904295011998</v>
      </c>
      <c r="AM52" s="20">
        <f t="shared" si="96"/>
        <v>27859.699592434001</v>
      </c>
      <c r="AN52" s="17"/>
    </row>
    <row r="53" spans="1:57" x14ac:dyDescent="0.2">
      <c r="A53" s="6" t="s">
        <v>15</v>
      </c>
      <c r="B53" s="4">
        <f>SUM(B41:B52)</f>
        <v>324366.17000000004</v>
      </c>
      <c r="C53" s="9">
        <f>B53*0.2830826</f>
        <v>91822.418755642022</v>
      </c>
      <c r="D53" s="9">
        <f>B53*0.2210508</f>
        <v>71701.401371436004</v>
      </c>
      <c r="E53" s="9">
        <f>B53*0.4958666</f>
        <v>160842.34987292203</v>
      </c>
      <c r="F53" s="9"/>
      <c r="G53" s="11">
        <f>SUM(G41:G52)</f>
        <v>199800</v>
      </c>
      <c r="H53" s="8">
        <f>SUM(H41:H52)</f>
        <v>56700</v>
      </c>
      <c r="I53" s="8">
        <f t="shared" ref="I53:J53" si="97">SUM(I41:I52)</f>
        <v>44280</v>
      </c>
      <c r="J53" s="8">
        <f t="shared" si="97"/>
        <v>98820</v>
      </c>
      <c r="K53" s="8"/>
      <c r="L53" s="11">
        <f>SUM(L41:L52)</f>
        <v>195711.12000000002</v>
      </c>
      <c r="M53" s="11">
        <f t="shared" ref="M53:Q53" si="98">SUM(M41:M52)</f>
        <v>54817.920000000013</v>
      </c>
      <c r="N53" s="11">
        <f>M53*100/H53</f>
        <v>96.680634920634944</v>
      </c>
      <c r="O53" s="11">
        <f>SUM(O41:O52)</f>
        <v>43578.960000000014</v>
      </c>
      <c r="P53" s="11">
        <f>O53*100/I53</f>
        <v>98.416802168021704</v>
      </c>
      <c r="Q53" s="11">
        <f t="shared" si="98"/>
        <v>97314.240000000034</v>
      </c>
      <c r="R53" s="8">
        <f>Q53*100/J53</f>
        <v>98.476259866423845</v>
      </c>
      <c r="S53" s="8"/>
      <c r="T53" s="9"/>
      <c r="U53" s="4">
        <f>SUM(U41:U52)</f>
        <v>51069</v>
      </c>
      <c r="V53" s="4">
        <f t="shared" ref="V53:X53" si="99">SUM(V41:V52)</f>
        <v>16146.607325289004</v>
      </c>
      <c r="W53" s="4">
        <f t="shared" si="99"/>
        <v>12637.984504683001</v>
      </c>
      <c r="X53" s="4">
        <f t="shared" si="99"/>
        <v>22284.408170027993</v>
      </c>
      <c r="Y53" s="7"/>
      <c r="Z53" s="9">
        <f>SUM(Z41:Z52)</f>
        <v>3914.2223999999992</v>
      </c>
      <c r="AA53" s="9">
        <f t="shared" ref="AA53:AC53" si="100">SUM(AA41:AA52)</f>
        <v>1096.3583999999998</v>
      </c>
      <c r="AB53" s="9">
        <f t="shared" si="100"/>
        <v>871.57920000000024</v>
      </c>
      <c r="AC53" s="9">
        <f t="shared" si="100"/>
        <v>1946.2847999999997</v>
      </c>
      <c r="AD53" s="7"/>
      <c r="AE53" s="9">
        <f t="shared" si="89"/>
        <v>54983.222399999999</v>
      </c>
      <c r="AF53" s="7">
        <f t="shared" si="90"/>
        <v>17242.965725289003</v>
      </c>
      <c r="AG53" s="7">
        <f t="shared" si="91"/>
        <v>13509.563704683002</v>
      </c>
      <c r="AH53" s="7">
        <f t="shared" si="92"/>
        <v>24230.692970027994</v>
      </c>
      <c r="AI53" s="7"/>
      <c r="AJ53" s="11">
        <f>SUM(AJ41:AJ52)</f>
        <v>465094.06760000007</v>
      </c>
      <c r="AK53" s="11">
        <f t="shared" ref="AK53:AM53" si="101">SUM(AK41:AK52)</f>
        <v>129397.37303035302</v>
      </c>
      <c r="AL53" s="11">
        <f t="shared" si="101"/>
        <v>101770.79766675297</v>
      </c>
      <c r="AM53" s="11">
        <f t="shared" si="101"/>
        <v>233925.89690289402</v>
      </c>
      <c r="AN53" s="17"/>
    </row>
    <row r="55" spans="1:57" x14ac:dyDescent="0.2">
      <c r="L55" s="12"/>
      <c r="M55" s="12"/>
      <c r="N55" s="12"/>
      <c r="O55" s="12"/>
      <c r="P55" s="12"/>
      <c r="Q55" s="12"/>
      <c r="R55" s="12"/>
      <c r="S55" s="12"/>
      <c r="AP55" s="18"/>
      <c r="AQ55" s="19"/>
      <c r="BE55" s="12"/>
    </row>
    <row r="56" spans="1:57" x14ac:dyDescent="0.2">
      <c r="AM56" s="12"/>
    </row>
    <row r="57" spans="1:57" x14ac:dyDescent="0.2">
      <c r="E57" s="3" t="s">
        <v>36</v>
      </c>
    </row>
    <row r="58" spans="1:57" ht="84" x14ac:dyDescent="0.2">
      <c r="A58" s="4" t="s">
        <v>9</v>
      </c>
      <c r="B58" s="5" t="s">
        <v>10</v>
      </c>
      <c r="C58" s="1" t="s">
        <v>26</v>
      </c>
      <c r="D58" s="5" t="s">
        <v>0</v>
      </c>
      <c r="E58" s="1" t="s">
        <v>26</v>
      </c>
      <c r="F58" s="5" t="s">
        <v>1</v>
      </c>
      <c r="G58" s="1" t="s">
        <v>26</v>
      </c>
      <c r="H58" s="1" t="s">
        <v>2</v>
      </c>
      <c r="I58" s="5" t="s">
        <v>37</v>
      </c>
      <c r="J58" s="1" t="s">
        <v>26</v>
      </c>
      <c r="K58" s="5" t="s">
        <v>3</v>
      </c>
      <c r="L58" s="1" t="s">
        <v>18</v>
      </c>
      <c r="M58" s="5" t="s">
        <v>6</v>
      </c>
      <c r="N58" s="5"/>
      <c r="O58" s="1" t="s">
        <v>26</v>
      </c>
      <c r="P58" s="1"/>
      <c r="Q58" s="5" t="s">
        <v>5</v>
      </c>
      <c r="R58" s="1"/>
      <c r="S58" s="1" t="s">
        <v>26</v>
      </c>
      <c r="T58" s="16"/>
    </row>
    <row r="59" spans="1:57" x14ac:dyDescent="0.2">
      <c r="A59" s="6">
        <v>42736</v>
      </c>
      <c r="B59" s="4">
        <v>0</v>
      </c>
      <c r="C59" s="9">
        <f>B59*0.2830826</f>
        <v>0</v>
      </c>
      <c r="D59" s="2">
        <v>0</v>
      </c>
      <c r="E59" s="8">
        <f>D59</f>
        <v>0</v>
      </c>
      <c r="F59" s="2">
        <v>0</v>
      </c>
      <c r="G59" s="8">
        <f>F59</f>
        <v>0</v>
      </c>
      <c r="H59" s="8"/>
      <c r="I59" s="4">
        <v>0</v>
      </c>
      <c r="J59" s="7">
        <f>I59*0.316172381</f>
        <v>0</v>
      </c>
      <c r="K59" s="9">
        <f>G59*2%</f>
        <v>0</v>
      </c>
      <c r="L59" s="7">
        <f>G59*2%</f>
        <v>0</v>
      </c>
      <c r="M59" s="9">
        <f>K59+I59</f>
        <v>0</v>
      </c>
      <c r="N59" s="9" t="s">
        <v>38</v>
      </c>
      <c r="O59" s="7">
        <f>J59+L59</f>
        <v>0</v>
      </c>
      <c r="P59" s="7"/>
      <c r="Q59" s="11">
        <f>F59-M59+B59</f>
        <v>0</v>
      </c>
      <c r="R59" s="20" t="s">
        <v>38</v>
      </c>
      <c r="S59" s="20">
        <f>Q59</f>
        <v>0</v>
      </c>
      <c r="T59" s="21"/>
    </row>
    <row r="60" spans="1:57" x14ac:dyDescent="0.2">
      <c r="A60" s="6">
        <v>42767</v>
      </c>
      <c r="B60" s="4">
        <v>0</v>
      </c>
      <c r="C60" s="9">
        <f t="shared" ref="C60:C61" si="102">B60*0.2830826</f>
        <v>0</v>
      </c>
      <c r="D60" s="2">
        <v>0</v>
      </c>
      <c r="E60" s="8">
        <f t="shared" ref="E60:E70" si="103">D60</f>
        <v>0</v>
      </c>
      <c r="F60" s="2">
        <v>0</v>
      </c>
      <c r="G60" s="8">
        <f t="shared" ref="G60:G71" si="104">F60</f>
        <v>0</v>
      </c>
      <c r="H60" s="8"/>
      <c r="I60" s="4">
        <v>0</v>
      </c>
      <c r="J60" s="7">
        <f>I60</f>
        <v>0</v>
      </c>
      <c r="K60" s="9">
        <f t="shared" ref="K60:K70" si="105">G60*2%</f>
        <v>0</v>
      </c>
      <c r="L60" s="7">
        <f>G60*2%</f>
        <v>0</v>
      </c>
      <c r="M60" s="9">
        <f t="shared" ref="M60:M70" si="106">K60+I60</f>
        <v>0</v>
      </c>
      <c r="N60" s="9" t="s">
        <v>38</v>
      </c>
      <c r="O60" s="7">
        <f>J60+L60</f>
        <v>0</v>
      </c>
      <c r="P60" s="7"/>
      <c r="Q60" s="11">
        <f t="shared" ref="Q60:Q70" si="107">F60-M60+B60</f>
        <v>0</v>
      </c>
      <c r="R60" s="20" t="s">
        <v>38</v>
      </c>
      <c r="S60" s="20">
        <f t="shared" ref="S60:S70" si="108">Q60</f>
        <v>0</v>
      </c>
      <c r="T60" s="21"/>
    </row>
    <row r="61" spans="1:57" x14ac:dyDescent="0.2">
      <c r="A61" s="6">
        <v>42795</v>
      </c>
      <c r="B61" s="4">
        <v>0</v>
      </c>
      <c r="C61" s="9">
        <f t="shared" si="102"/>
        <v>0</v>
      </c>
      <c r="D61" s="2">
        <v>334549.8</v>
      </c>
      <c r="E61" s="8">
        <f t="shared" si="103"/>
        <v>334549.8</v>
      </c>
      <c r="F61" s="2">
        <v>40317.5</v>
      </c>
      <c r="G61" s="8">
        <f t="shared" si="104"/>
        <v>40317.5</v>
      </c>
      <c r="H61" s="8"/>
      <c r="I61" s="4">
        <v>0</v>
      </c>
      <c r="J61" s="7">
        <f t="shared" ref="J61:J70" si="109">I61</f>
        <v>0</v>
      </c>
      <c r="K61" s="9">
        <f t="shared" si="105"/>
        <v>806.35</v>
      </c>
      <c r="L61" s="7">
        <f>G61*2%</f>
        <v>806.35</v>
      </c>
      <c r="M61" s="9">
        <f t="shared" si="106"/>
        <v>806.35</v>
      </c>
      <c r="N61" s="9" t="s">
        <v>38</v>
      </c>
      <c r="O61" s="7">
        <f>J61+L61</f>
        <v>806.35</v>
      </c>
      <c r="P61" s="7"/>
      <c r="Q61" s="11">
        <f t="shared" si="107"/>
        <v>39511.15</v>
      </c>
      <c r="R61" s="20" t="s">
        <v>38</v>
      </c>
      <c r="S61" s="20">
        <f t="shared" si="108"/>
        <v>39511.15</v>
      </c>
      <c r="T61" s="21"/>
    </row>
    <row r="62" spans="1:57" x14ac:dyDescent="0.2">
      <c r="A62" s="6">
        <v>42826</v>
      </c>
      <c r="B62" s="4">
        <v>0</v>
      </c>
      <c r="C62" s="9">
        <f t="shared" ref="C62:C70" si="110">B62*0.2830826</f>
        <v>0</v>
      </c>
      <c r="D62" s="2">
        <v>20015.8</v>
      </c>
      <c r="E62" s="8">
        <f t="shared" si="103"/>
        <v>20015.8</v>
      </c>
      <c r="F62" s="2">
        <v>40317.5</v>
      </c>
      <c r="G62" s="8">
        <f t="shared" si="104"/>
        <v>40317.5</v>
      </c>
      <c r="H62" s="8"/>
      <c r="I62" s="4">
        <v>0</v>
      </c>
      <c r="J62" s="7">
        <f t="shared" si="109"/>
        <v>0</v>
      </c>
      <c r="K62" s="9">
        <f t="shared" si="105"/>
        <v>806.35</v>
      </c>
      <c r="L62" s="7">
        <f>G62*2%</f>
        <v>806.35</v>
      </c>
      <c r="M62" s="9">
        <f t="shared" si="106"/>
        <v>806.35</v>
      </c>
      <c r="N62" s="9" t="s">
        <v>38</v>
      </c>
      <c r="O62" s="7">
        <f>J62+L62</f>
        <v>806.35</v>
      </c>
      <c r="P62" s="7"/>
      <c r="Q62" s="11">
        <f t="shared" si="107"/>
        <v>39511.15</v>
      </c>
      <c r="R62" s="20" t="s">
        <v>38</v>
      </c>
      <c r="S62" s="20">
        <f t="shared" si="108"/>
        <v>39511.15</v>
      </c>
      <c r="T62" s="21"/>
    </row>
    <row r="63" spans="1:57" x14ac:dyDescent="0.2">
      <c r="A63" s="6">
        <v>42856</v>
      </c>
      <c r="B63" s="4">
        <v>0</v>
      </c>
      <c r="C63" s="9">
        <f t="shared" si="110"/>
        <v>0</v>
      </c>
      <c r="D63" s="2">
        <v>8578.2000000000007</v>
      </c>
      <c r="E63" s="8">
        <f t="shared" si="103"/>
        <v>8578.2000000000007</v>
      </c>
      <c r="F63" s="2">
        <v>40317.5</v>
      </c>
      <c r="G63" s="8">
        <f t="shared" si="104"/>
        <v>40317.5</v>
      </c>
      <c r="H63" s="8"/>
      <c r="I63" s="4">
        <v>399887</v>
      </c>
      <c r="J63" s="7">
        <f t="shared" si="109"/>
        <v>399887</v>
      </c>
      <c r="K63" s="9">
        <f t="shared" si="105"/>
        <v>806.35</v>
      </c>
      <c r="L63" s="7">
        <f>G63*2%</f>
        <v>806.35</v>
      </c>
      <c r="M63" s="9">
        <f t="shared" si="106"/>
        <v>400693.35</v>
      </c>
      <c r="N63" s="9" t="s">
        <v>38</v>
      </c>
      <c r="O63" s="7">
        <f>J63+L63</f>
        <v>400693.35</v>
      </c>
      <c r="P63" s="7"/>
      <c r="Q63" s="11">
        <f t="shared" si="107"/>
        <v>-360375.85</v>
      </c>
      <c r="R63" s="20" t="s">
        <v>38</v>
      </c>
      <c r="S63" s="20">
        <f t="shared" si="108"/>
        <v>-360375.85</v>
      </c>
      <c r="T63" s="21"/>
    </row>
    <row r="64" spans="1:57" x14ac:dyDescent="0.2">
      <c r="A64" s="6">
        <v>42887</v>
      </c>
      <c r="B64" s="4">
        <v>0</v>
      </c>
      <c r="C64" s="9">
        <f t="shared" si="110"/>
        <v>0</v>
      </c>
      <c r="D64" s="2">
        <v>5718.8</v>
      </c>
      <c r="E64" s="8">
        <f t="shared" si="103"/>
        <v>5718.8</v>
      </c>
      <c r="F64" s="2">
        <v>40317.5</v>
      </c>
      <c r="G64" s="8">
        <f t="shared" si="104"/>
        <v>40317.5</v>
      </c>
      <c r="H64" s="8"/>
      <c r="I64" s="4">
        <v>2330</v>
      </c>
      <c r="J64" s="7">
        <f t="shared" si="109"/>
        <v>2330</v>
      </c>
      <c r="K64" s="9">
        <f t="shared" si="105"/>
        <v>806.35</v>
      </c>
      <c r="L64" s="7">
        <f>G64*2%</f>
        <v>806.35</v>
      </c>
      <c r="M64" s="9">
        <f t="shared" si="106"/>
        <v>3136.35</v>
      </c>
      <c r="N64" s="9" t="s">
        <v>38</v>
      </c>
      <c r="O64" s="7">
        <f>J64+L64</f>
        <v>3136.35</v>
      </c>
      <c r="P64" s="7"/>
      <c r="Q64" s="11">
        <f t="shared" si="107"/>
        <v>37181.15</v>
      </c>
      <c r="R64" s="20" t="s">
        <v>38</v>
      </c>
      <c r="S64" s="20">
        <f t="shared" si="108"/>
        <v>37181.15</v>
      </c>
      <c r="T64" s="21"/>
    </row>
    <row r="65" spans="1:20" x14ac:dyDescent="0.2">
      <c r="A65" s="6">
        <v>42917</v>
      </c>
      <c r="B65" s="4">
        <v>0</v>
      </c>
      <c r="C65" s="9">
        <f t="shared" si="110"/>
        <v>0</v>
      </c>
      <c r="D65" s="2">
        <v>8578.2000000000007</v>
      </c>
      <c r="E65" s="8">
        <f t="shared" si="103"/>
        <v>8578.2000000000007</v>
      </c>
      <c r="F65" s="2">
        <v>40317.5</v>
      </c>
      <c r="G65" s="8">
        <f t="shared" si="104"/>
        <v>40317.5</v>
      </c>
      <c r="H65" s="8"/>
      <c r="I65" s="4"/>
      <c r="J65" s="7">
        <f t="shared" si="109"/>
        <v>0</v>
      </c>
      <c r="K65" s="9">
        <f t="shared" si="105"/>
        <v>806.35</v>
      </c>
      <c r="L65" s="7">
        <f>G65*2%</f>
        <v>806.35</v>
      </c>
      <c r="M65" s="9">
        <f t="shared" si="106"/>
        <v>806.35</v>
      </c>
      <c r="N65" s="9" t="s">
        <v>38</v>
      </c>
      <c r="O65" s="7">
        <f>J65+L65</f>
        <v>806.35</v>
      </c>
      <c r="P65" s="7"/>
      <c r="Q65" s="11">
        <f t="shared" si="107"/>
        <v>39511.15</v>
      </c>
      <c r="R65" s="20" t="s">
        <v>38</v>
      </c>
      <c r="S65" s="20">
        <f t="shared" si="108"/>
        <v>39511.15</v>
      </c>
      <c r="T65" s="21"/>
    </row>
    <row r="66" spans="1:20" x14ac:dyDescent="0.2">
      <c r="A66" s="6">
        <v>42948</v>
      </c>
      <c r="B66" s="4">
        <v>0</v>
      </c>
      <c r="C66" s="9">
        <f t="shared" si="110"/>
        <v>0</v>
      </c>
      <c r="D66" s="2">
        <v>5718.8</v>
      </c>
      <c r="E66" s="8">
        <f t="shared" si="103"/>
        <v>5718.8</v>
      </c>
      <c r="F66" s="2">
        <v>40317.5</v>
      </c>
      <c r="G66" s="8">
        <f t="shared" si="104"/>
        <v>40317.5</v>
      </c>
      <c r="H66" s="8"/>
      <c r="I66" s="4">
        <v>3000</v>
      </c>
      <c r="J66" s="7">
        <f t="shared" si="109"/>
        <v>3000</v>
      </c>
      <c r="K66" s="9">
        <f t="shared" si="105"/>
        <v>806.35</v>
      </c>
      <c r="L66" s="7">
        <f>G66*2%</f>
        <v>806.35</v>
      </c>
      <c r="M66" s="9">
        <f t="shared" si="106"/>
        <v>3806.35</v>
      </c>
      <c r="N66" s="9" t="s">
        <v>38</v>
      </c>
      <c r="O66" s="7">
        <f>J66+L66</f>
        <v>3806.35</v>
      </c>
      <c r="P66" s="7"/>
      <c r="Q66" s="11">
        <f t="shared" si="107"/>
        <v>36511.15</v>
      </c>
      <c r="R66" s="20" t="s">
        <v>38</v>
      </c>
      <c r="S66" s="20">
        <f t="shared" si="108"/>
        <v>36511.15</v>
      </c>
      <c r="T66" s="21"/>
    </row>
    <row r="67" spans="1:20" x14ac:dyDescent="0.2">
      <c r="A67" s="6">
        <v>42979</v>
      </c>
      <c r="B67" s="4">
        <v>0</v>
      </c>
      <c r="C67" s="9">
        <f t="shared" si="110"/>
        <v>0</v>
      </c>
      <c r="D67" s="2">
        <v>0</v>
      </c>
      <c r="E67" s="8">
        <f t="shared" si="103"/>
        <v>0</v>
      </c>
      <c r="F67" s="2">
        <v>40317.5</v>
      </c>
      <c r="G67" s="8">
        <f t="shared" si="104"/>
        <v>40317.5</v>
      </c>
      <c r="H67" s="8"/>
      <c r="I67" s="4"/>
      <c r="J67" s="7">
        <f t="shared" si="109"/>
        <v>0</v>
      </c>
      <c r="K67" s="9">
        <f t="shared" si="105"/>
        <v>806.35</v>
      </c>
      <c r="L67" s="7">
        <f>G67*2%</f>
        <v>806.35</v>
      </c>
      <c r="M67" s="9">
        <f t="shared" si="106"/>
        <v>806.35</v>
      </c>
      <c r="N67" s="9" t="s">
        <v>38</v>
      </c>
      <c r="O67" s="7">
        <f>J67+L67</f>
        <v>806.35</v>
      </c>
      <c r="P67" s="7"/>
      <c r="Q67" s="11">
        <f t="shared" si="107"/>
        <v>39511.15</v>
      </c>
      <c r="R67" s="20" t="s">
        <v>38</v>
      </c>
      <c r="S67" s="20">
        <f t="shared" si="108"/>
        <v>39511.15</v>
      </c>
      <c r="T67" s="21"/>
    </row>
    <row r="68" spans="1:20" x14ac:dyDescent="0.2">
      <c r="A68" s="6">
        <v>43009</v>
      </c>
      <c r="B68" s="4">
        <v>0</v>
      </c>
      <c r="C68" s="9">
        <f t="shared" si="110"/>
        <v>0</v>
      </c>
      <c r="D68" s="2">
        <v>0</v>
      </c>
      <c r="E68" s="8">
        <f t="shared" si="103"/>
        <v>0</v>
      </c>
      <c r="F68" s="2">
        <v>40317.5</v>
      </c>
      <c r="G68" s="8">
        <f t="shared" si="104"/>
        <v>40317.5</v>
      </c>
      <c r="H68" s="8"/>
      <c r="I68" s="4"/>
      <c r="J68" s="7">
        <f t="shared" si="109"/>
        <v>0</v>
      </c>
      <c r="K68" s="9">
        <f t="shared" si="105"/>
        <v>806.35</v>
      </c>
      <c r="L68" s="7">
        <f>G68*2%</f>
        <v>806.35</v>
      </c>
      <c r="M68" s="9">
        <f t="shared" si="106"/>
        <v>806.35</v>
      </c>
      <c r="N68" s="9" t="s">
        <v>38</v>
      </c>
      <c r="O68" s="7">
        <f>J68+L68</f>
        <v>806.35</v>
      </c>
      <c r="P68" s="7"/>
      <c r="Q68" s="11">
        <f t="shared" si="107"/>
        <v>39511.15</v>
      </c>
      <c r="R68" s="20" t="s">
        <v>38</v>
      </c>
      <c r="S68" s="20">
        <f t="shared" si="108"/>
        <v>39511.15</v>
      </c>
      <c r="T68" s="21"/>
    </row>
    <row r="69" spans="1:20" x14ac:dyDescent="0.2">
      <c r="A69" s="6">
        <v>43040</v>
      </c>
      <c r="B69" s="4">
        <v>0</v>
      </c>
      <c r="C69" s="9">
        <f t="shared" si="110"/>
        <v>0</v>
      </c>
      <c r="D69" s="2">
        <v>5718.8</v>
      </c>
      <c r="E69" s="8">
        <f t="shared" si="103"/>
        <v>5718.8</v>
      </c>
      <c r="F69" s="2">
        <v>40317.5</v>
      </c>
      <c r="G69" s="8">
        <f t="shared" si="104"/>
        <v>40317.5</v>
      </c>
      <c r="H69" s="8"/>
      <c r="I69" s="4"/>
      <c r="J69" s="7">
        <f t="shared" si="109"/>
        <v>0</v>
      </c>
      <c r="K69" s="9">
        <f t="shared" si="105"/>
        <v>806.35</v>
      </c>
      <c r="L69" s="7">
        <f>G69*2%</f>
        <v>806.35</v>
      </c>
      <c r="M69" s="9">
        <f t="shared" si="106"/>
        <v>806.35</v>
      </c>
      <c r="N69" s="9" t="s">
        <v>38</v>
      </c>
      <c r="O69" s="7">
        <f>J69+L69</f>
        <v>806.35</v>
      </c>
      <c r="P69" s="7"/>
      <c r="Q69" s="11">
        <f t="shared" si="107"/>
        <v>39511.15</v>
      </c>
      <c r="R69" s="20" t="s">
        <v>38</v>
      </c>
      <c r="S69" s="20">
        <f t="shared" si="108"/>
        <v>39511.15</v>
      </c>
      <c r="T69" s="21"/>
    </row>
    <row r="70" spans="1:20" x14ac:dyDescent="0.2">
      <c r="A70" s="6">
        <v>43070</v>
      </c>
      <c r="B70" s="4">
        <v>0</v>
      </c>
      <c r="C70" s="9">
        <f t="shared" si="110"/>
        <v>0</v>
      </c>
      <c r="D70" s="2">
        <v>28594</v>
      </c>
      <c r="E70" s="8">
        <f t="shared" si="103"/>
        <v>28594</v>
      </c>
      <c r="F70" s="2">
        <v>40317.5</v>
      </c>
      <c r="G70" s="8">
        <f t="shared" si="104"/>
        <v>40317.5</v>
      </c>
      <c r="H70" s="8"/>
      <c r="I70" s="4"/>
      <c r="J70" s="7">
        <f t="shared" si="109"/>
        <v>0</v>
      </c>
      <c r="K70" s="9">
        <f t="shared" si="105"/>
        <v>806.35</v>
      </c>
      <c r="L70" s="7">
        <f>G70*2%</f>
        <v>806.35</v>
      </c>
      <c r="M70" s="9">
        <f t="shared" si="106"/>
        <v>806.35</v>
      </c>
      <c r="N70" s="9" t="s">
        <v>38</v>
      </c>
      <c r="O70" s="7">
        <f>J70+L70</f>
        <v>806.35</v>
      </c>
      <c r="P70" s="7"/>
      <c r="Q70" s="11">
        <f t="shared" si="107"/>
        <v>39511.15</v>
      </c>
      <c r="R70" s="20" t="s">
        <v>38</v>
      </c>
      <c r="S70" s="20">
        <f t="shared" si="108"/>
        <v>39511.15</v>
      </c>
      <c r="T70" s="21"/>
    </row>
    <row r="71" spans="1:20" x14ac:dyDescent="0.2">
      <c r="A71" s="6" t="s">
        <v>15</v>
      </c>
      <c r="B71" s="4">
        <f>SUM(B59:B70)</f>
        <v>0</v>
      </c>
      <c r="C71" s="9">
        <f>B71*0.2830826</f>
        <v>0</v>
      </c>
      <c r="D71" s="11">
        <f>SUM(D59:D70)</f>
        <v>417472.39999999997</v>
      </c>
      <c r="E71" s="8">
        <f>SUM(E59:E70)</f>
        <v>417472.39999999997</v>
      </c>
      <c r="F71" s="11">
        <f>SUM(F59:F70)</f>
        <v>403175</v>
      </c>
      <c r="G71" s="8">
        <f t="shared" si="104"/>
        <v>403175</v>
      </c>
      <c r="H71" s="11">
        <f>G71*100/D71</f>
        <v>96.575246651036096</v>
      </c>
      <c r="I71" s="4">
        <f>SUM(I59:I70)</f>
        <v>405217</v>
      </c>
      <c r="J71" s="4">
        <f t="shared" ref="J71" si="111">SUM(J59:J70)</f>
        <v>405217</v>
      </c>
      <c r="K71" s="9">
        <f>SUM(K59:K70)</f>
        <v>8063.5000000000018</v>
      </c>
      <c r="L71" s="9">
        <f t="shared" ref="L71" si="112">SUM(L59:L70)</f>
        <v>8063.5000000000018</v>
      </c>
      <c r="M71" s="9">
        <f>SUM(M59:M70)</f>
        <v>413280.49999999983</v>
      </c>
      <c r="N71" s="9" t="s">
        <v>38</v>
      </c>
      <c r="O71" s="7">
        <f>J71+L71</f>
        <v>413280.5</v>
      </c>
      <c r="P71" s="7"/>
      <c r="Q71" s="11">
        <f>SUM(Q59:Q70)</f>
        <v>-10105.500000000015</v>
      </c>
      <c r="R71" s="11" t="s">
        <v>38</v>
      </c>
      <c r="S71" s="11">
        <f t="shared" ref="S71" si="113">SUM(S59:S70)</f>
        <v>-10105.500000000015</v>
      </c>
      <c r="T71" s="22"/>
    </row>
    <row r="74" spans="1:20" x14ac:dyDescent="0.2">
      <c r="Q74" s="12"/>
    </row>
  </sheetData>
  <mergeCells count="1">
    <mergeCell ref="AP55:AQ55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2016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2018-03-29T08:38:16Z</cp:lastPrinted>
  <dcterms:created xsi:type="dcterms:W3CDTF">2013-01-14T08:21:36Z</dcterms:created>
  <dcterms:modified xsi:type="dcterms:W3CDTF">2018-03-30T02:01:28Z</dcterms:modified>
</cp:coreProperties>
</file>