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680" yWindow="-75" windowWidth="17655" windowHeight="12000"/>
  </bookViews>
  <sheets>
    <sheet name="101" sheetId="2" r:id="rId1"/>
  </sheets>
  <definedNames>
    <definedName name="_xlnm.Print_Area" localSheetId="0">'101'!$A$1:$F$46</definedName>
  </definedNames>
  <calcPr calcId="125725"/>
</workbook>
</file>

<file path=xl/calcChain.xml><?xml version="1.0" encoding="utf-8"?>
<calcChain xmlns="http://schemas.openxmlformats.org/spreadsheetml/2006/main">
  <c r="F16" i="2"/>
  <c r="F26"/>
  <c r="F36" l="1"/>
  <c r="F20" l="1"/>
  <c r="L38"/>
  <c r="L36"/>
  <c r="L24"/>
  <c r="L23"/>
  <c r="L22"/>
  <c r="L19"/>
  <c r="K16" l="1"/>
  <c r="J15"/>
  <c r="J16" s="1"/>
  <c r="I34"/>
  <c r="L34" s="1"/>
  <c r="I33"/>
  <c r="L33" s="1"/>
  <c r="I27"/>
  <c r="K18"/>
  <c r="L18" s="1"/>
  <c r="I15" l="1"/>
  <c r="I16" s="1"/>
  <c r="L27"/>
  <c r="L15" s="1"/>
  <c r="K15"/>
  <c r="K25"/>
  <c r="L25" s="1"/>
  <c r="K28"/>
  <c r="L28" s="1"/>
  <c r="K29"/>
  <c r="L29" s="1"/>
  <c r="K30"/>
  <c r="L30" s="1"/>
  <c r="K31"/>
  <c r="L31" s="1"/>
  <c r="K32"/>
  <c r="L32" s="1"/>
  <c r="K35"/>
  <c r="L35" s="1"/>
  <c r="L16" l="1"/>
  <c r="H25"/>
  <c r="M25" s="1"/>
  <c r="H28"/>
  <c r="M28" s="1"/>
  <c r="H29"/>
  <c r="M29" s="1"/>
  <c r="H30"/>
  <c r="M30" s="1"/>
  <c r="H31"/>
  <c r="M31" s="1"/>
  <c r="H32"/>
  <c r="M32" s="1"/>
  <c r="H35"/>
  <c r="M35" s="1"/>
  <c r="F18"/>
  <c r="G11"/>
  <c r="C9" l="1"/>
  <c r="C5"/>
  <c r="C10"/>
  <c r="H39" l="1"/>
  <c r="M39" s="1"/>
  <c r="H33"/>
  <c r="M33" s="1"/>
  <c r="H23"/>
  <c r="M23" s="1"/>
  <c r="H19"/>
  <c r="M19" s="1"/>
  <c r="H17"/>
  <c r="M17" s="1"/>
  <c r="H34"/>
  <c r="M34" s="1"/>
  <c r="H27"/>
  <c r="M27" s="1"/>
  <c r="H24"/>
  <c r="M24" s="1"/>
  <c r="H22"/>
  <c r="M22" s="1"/>
  <c r="H20"/>
  <c r="H18"/>
  <c r="M18" s="1"/>
  <c r="F37"/>
  <c r="H37" s="1"/>
  <c r="M37" s="1"/>
  <c r="G37"/>
  <c r="G36"/>
  <c r="G26"/>
  <c r="H36" l="1"/>
  <c r="M36" s="1"/>
  <c r="F38"/>
  <c r="F21" s="1"/>
  <c r="G28"/>
  <c r="G29"/>
  <c r="H26" l="1"/>
  <c r="G38"/>
  <c r="G21" s="1"/>
  <c r="G15" s="1"/>
  <c r="H38" l="1"/>
  <c r="M38" s="1"/>
  <c r="G13"/>
  <c r="H21" l="1"/>
  <c r="F15"/>
  <c r="H15" l="1"/>
  <c r="M15" s="1"/>
  <c r="N15" s="1"/>
  <c r="F13"/>
  <c r="H13" s="1"/>
  <c r="F14"/>
  <c r="H14" s="1"/>
  <c r="H16"/>
  <c r="M16" l="1"/>
  <c r="N16" s="1"/>
</calcChain>
</file>

<file path=xl/comments1.xml><?xml version="1.0" encoding="utf-8"?>
<comments xmlns="http://schemas.openxmlformats.org/spreadsheetml/2006/main">
  <authors>
    <author>Автор</author>
  </authors>
  <commentList>
    <comment ref="F17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раскидано по техобслуж и санитар содерж</t>
        </r>
      </text>
    </comment>
    <comment ref="D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протокола
</t>
        </r>
      </text>
    </comment>
  </commentList>
</comments>
</file>

<file path=xl/sharedStrings.xml><?xml version="1.0" encoding="utf-8"?>
<sst xmlns="http://schemas.openxmlformats.org/spreadsheetml/2006/main" count="62" uniqueCount="60">
  <si>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</si>
  <si>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</si>
  <si>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</si>
  <si>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</si>
  <si>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</si>
  <si>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</si>
  <si>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</si>
  <si>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</si>
  <si>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</si>
  <si>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</si>
  <si>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Содержание и техническое обслуживание общего имущества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</si>
  <si>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</si>
  <si>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</si>
  <si>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</si>
  <si>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</si>
  <si>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</si>
  <si>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</si>
  <si>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</si>
  <si>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</si>
  <si>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</si>
  <si>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</si>
  <si>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</si>
  <si>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</si>
  <si>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</si>
  <si>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</si>
  <si>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</si>
  <si>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</si>
  <si>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в т.ч.содержание общедомовых коммуникаций</t>
  </si>
  <si>
    <t>3</t>
  </si>
  <si>
    <t>Содержание и техническое обслуживание мусоропровода</t>
  </si>
  <si>
    <t>Руб/м2                       с 01.04.2015г.</t>
  </si>
  <si>
    <t xml:space="preserve">Руб/м2               </t>
  </si>
  <si>
    <t>1</t>
  </si>
  <si>
    <t>2.1</t>
  </si>
  <si>
    <t>2.2</t>
  </si>
  <si>
    <t>2.3</t>
  </si>
  <si>
    <t>2.4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</si>
  <si>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                     </t>
  </si>
  <si>
    <t>Обслуживание домофона</t>
  </si>
  <si>
    <t>Пожарная сигнализация и дымоудаление</t>
  </si>
  <si>
    <t>в т.ч. Содержание и техническое обслуживание 1 лифта</t>
  </si>
  <si>
    <t>по адресу: Рябикова, 101</t>
  </si>
  <si>
    <t>Содержание и техническое обслуживание 4 лифтов</t>
  </si>
  <si>
    <t>Руб/м2 давали Вам для встречи с Муниным 20.12.16</t>
  </si>
  <si>
    <t>плановые начисления руб.в мес.</t>
  </si>
  <si>
    <t>Директор ООО "Дом- Сервис"                                                                                       В.О.Воловик</t>
  </si>
  <si>
    <t>Содержание и техническое обслуживание 2 лифтов</t>
  </si>
  <si>
    <t>Всего содержание и техническое обслуживание общего имущества с 2 лифтами в подъезде</t>
  </si>
  <si>
    <t>Всего содержание и техническое обслуживание общего имущества с 1 лифтом в подъезде</t>
  </si>
  <si>
    <t>з/пл</t>
  </si>
  <si>
    <t>материалы</t>
  </si>
  <si>
    <t>отклонение</t>
  </si>
  <si>
    <t>итого расходы</t>
  </si>
  <si>
    <t>остальное</t>
  </si>
  <si>
    <t>рентабельность</t>
  </si>
  <si>
    <t xml:space="preserve">Управление, содержание, техническое обслуживание и текущий ремонт общего имущества многоквартирного дома, имеющего все виды благоустройства, оборудованного общедомовыми приборами учета, 4 лифтами и мусоропроводом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</si>
  <si>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общего имущества многоквартирного дома, имеющего все виды благоустройства, оборудованного общедомовыми приборами учета, 2 лифтами и мусоропроводом                                                                                                                                                                                                            </t>
  </si>
  <si>
    <t>2.5</t>
  </si>
  <si>
    <t>расходы руб.в мес.</t>
  </si>
  <si>
    <t>Руб/м2 с 26.12.2016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</si>
</sst>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7" fillId="0" borderId="0" xfId="0" applyFont="1"/>
    <xf numFmtId="0" fontId="8" fillId="0" borderId="1" xfId="0" applyFont="1" applyBorder="1" applyAlignme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2" fontId="0" fillId="0" borderId="1" xfId="0" applyNumberFormat="1" applyFont="1" applyFill="1" applyBorder="1" applyAlignment="1">
      <alignment horizontal="center" vertical="center"/>
    </xf>
    <xf numFmtId="2" fontId="0" fillId="5" borderId="6" xfId="0" applyNumberFormat="1" applyFont="1" applyFill="1" applyBorder="1" applyAlignment="1">
      <alignment vertical="center"/>
    </xf>
    <xf numFmtId="2" fontId="0" fillId="0" borderId="1" xfId="0" applyNumberFormat="1" applyFont="1" applyBorder="1"/>
    <xf numFmtId="0" fontId="0" fillId="0" borderId="1" xfId="0" applyBorder="1" applyAlignment="1">
      <alignment horizontal="center" wrapText="1"/>
    </xf>
    <xf numFmtId="2" fontId="2" fillId="5" borderId="6" xfId="0" applyNumberFormat="1" applyFont="1" applyFill="1" applyBorder="1" applyAlignment="1">
      <alignment vertical="center"/>
    </xf>
    <xf numFmtId="0" fontId="2" fillId="5" borderId="6" xfId="0" applyFont="1" applyFill="1" applyBorder="1"/>
    <xf numFmtId="0" fontId="0" fillId="0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1" xfId="0" applyFont="1" applyFill="1" applyBorder="1"/>
    <xf numFmtId="2" fontId="12" fillId="5" borderId="6" xfId="1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zoomScaleNormal="100" workbookViewId="0">
      <selection activeCell="B9" sqref="B9"/>
    </sheetView>
  </sheetViews>
  <sheetFormatPr defaultColWidth="5" defaultRowHeight="15"/>
  <cols>
    <col min="1" max="1" width="6.5703125" style="27" customWidth="1"/>
    <col min="2" max="2" width="77.7109375" style="2" customWidth="1"/>
    <col min="3" max="3" width="13" style="17" hidden="1" customWidth="1"/>
    <col min="4" max="5" width="13.42578125" style="17" hidden="1" customWidth="1"/>
    <col min="6" max="6" width="17" style="2" customWidth="1"/>
    <col min="7" max="7" width="19.85546875" style="2" hidden="1" customWidth="1"/>
    <col min="8" max="8" width="11.5703125" style="2" hidden="1" customWidth="1"/>
    <col min="9" max="9" width="6.42578125" style="2" hidden="1" customWidth="1"/>
    <col min="10" max="10" width="6.7109375" style="2" hidden="1" customWidth="1"/>
    <col min="11" max="11" width="10.5703125" style="2" hidden="1" customWidth="1"/>
    <col min="12" max="12" width="9" style="2" hidden="1" customWidth="1"/>
    <col min="13" max="13" width="9.7109375" style="2" hidden="1" customWidth="1"/>
    <col min="14" max="14" width="6" style="2" hidden="1" customWidth="1"/>
    <col min="15" max="15" width="0" style="2" hidden="1" customWidth="1"/>
    <col min="16" max="16384" width="5" style="2"/>
  </cols>
  <sheetData>
    <row r="1" spans="1:15" ht="19.5" customHeight="1">
      <c r="A1" s="18"/>
      <c r="B1" s="1"/>
    </row>
    <row r="2" spans="1:15" ht="49.5" customHeight="1">
      <c r="A2" s="68" t="s">
        <v>37</v>
      </c>
      <c r="B2" s="68"/>
      <c r="C2" s="68"/>
      <c r="D2" s="68"/>
      <c r="E2" s="68"/>
      <c r="F2" s="68"/>
      <c r="G2" s="68"/>
    </row>
    <row r="3" spans="1:15" ht="17.25" customHeight="1">
      <c r="A3" s="19"/>
      <c r="B3" s="77" t="s">
        <v>41</v>
      </c>
      <c r="C3" s="77"/>
      <c r="D3" s="77"/>
      <c r="E3" s="77"/>
      <c r="F3" s="77"/>
      <c r="G3" s="77"/>
    </row>
    <row r="4" spans="1:15" s="3" customFormat="1" ht="15.75">
      <c r="A4" s="20"/>
      <c r="B4" s="76" t="s">
        <v>0</v>
      </c>
      <c r="C4" s="76"/>
      <c r="D4" s="76"/>
      <c r="E4" s="76"/>
      <c r="F4" s="76"/>
      <c r="G4" s="76"/>
    </row>
    <row r="5" spans="1:15" s="3" customFormat="1" ht="15.75" customHeight="1">
      <c r="A5" s="20"/>
      <c r="B5" s="4" t="s">
        <v>1</v>
      </c>
      <c r="C5" s="69">
        <f>C6+C7</f>
        <v>14152.4</v>
      </c>
      <c r="D5" s="69"/>
      <c r="E5" s="69"/>
      <c r="F5" s="69"/>
      <c r="G5" s="69"/>
    </row>
    <row r="6" spans="1:15" s="3" customFormat="1" ht="15.75" customHeight="1">
      <c r="A6" s="20"/>
      <c r="B6" s="5" t="s">
        <v>2</v>
      </c>
      <c r="C6" s="70">
        <v>14152.4</v>
      </c>
      <c r="D6" s="70"/>
      <c r="E6" s="70"/>
      <c r="F6" s="70"/>
      <c r="G6" s="70"/>
    </row>
    <row r="7" spans="1:15" s="3" customFormat="1" ht="15.75" customHeight="1">
      <c r="A7" s="20"/>
      <c r="B7" s="5" t="s">
        <v>3</v>
      </c>
      <c r="C7" s="70"/>
      <c r="D7" s="70"/>
      <c r="E7" s="70"/>
      <c r="F7" s="70"/>
      <c r="G7" s="70"/>
    </row>
    <row r="8" spans="1:15" s="3" customFormat="1" ht="15.75" customHeight="1">
      <c r="A8" s="20"/>
      <c r="B8" s="6" t="s">
        <v>4</v>
      </c>
      <c r="C8" s="71">
        <v>18</v>
      </c>
      <c r="D8" s="71"/>
      <c r="E8" s="71"/>
      <c r="F8" s="71"/>
      <c r="G8" s="71"/>
    </row>
    <row r="9" spans="1:15" s="3" customFormat="1" ht="15.75" customHeight="1">
      <c r="A9" s="20"/>
      <c r="B9" s="6" t="s">
        <v>5</v>
      </c>
      <c r="C9" s="71">
        <f>1*2</f>
        <v>2</v>
      </c>
      <c r="D9" s="71"/>
      <c r="E9" s="71"/>
      <c r="F9" s="71"/>
      <c r="G9" s="71"/>
    </row>
    <row r="10" spans="1:15" s="3" customFormat="1" ht="15.75" customHeight="1">
      <c r="A10" s="20"/>
      <c r="B10" s="6" t="s">
        <v>6</v>
      </c>
      <c r="C10" s="71">
        <f>162*2</f>
        <v>324</v>
      </c>
      <c r="D10" s="71"/>
      <c r="E10" s="71"/>
      <c r="F10" s="71"/>
      <c r="G10" s="71"/>
    </row>
    <row r="11" spans="1:15" s="3" customFormat="1" ht="15.75">
      <c r="A11" s="20"/>
      <c r="B11" s="6" t="s">
        <v>7</v>
      </c>
      <c r="C11" s="67">
        <v>1</v>
      </c>
      <c r="D11" s="67">
        <v>2</v>
      </c>
      <c r="E11" s="67"/>
      <c r="F11" s="67">
        <v>2</v>
      </c>
      <c r="G11" s="67">
        <f>2*2</f>
        <v>4</v>
      </c>
      <c r="I11" s="72" t="s">
        <v>58</v>
      </c>
      <c r="J11" s="72"/>
      <c r="K11" s="72"/>
      <c r="L11" s="72"/>
    </row>
    <row r="12" spans="1:15" ht="66" customHeight="1">
      <c r="A12" s="21" t="s">
        <v>8</v>
      </c>
      <c r="B12" s="7" t="s">
        <v>9</v>
      </c>
      <c r="C12" s="35" t="s">
        <v>31</v>
      </c>
      <c r="D12" s="35" t="s">
        <v>30</v>
      </c>
      <c r="E12" s="35" t="s">
        <v>30</v>
      </c>
      <c r="F12" s="35" t="s">
        <v>59</v>
      </c>
      <c r="G12" s="47" t="s">
        <v>43</v>
      </c>
      <c r="H12" s="64" t="s">
        <v>44</v>
      </c>
      <c r="I12" s="61" t="s">
        <v>49</v>
      </c>
      <c r="J12" s="62" t="s">
        <v>50</v>
      </c>
      <c r="K12" s="62" t="s">
        <v>53</v>
      </c>
      <c r="L12" s="62" t="s">
        <v>52</v>
      </c>
      <c r="M12" s="56" t="s">
        <v>51</v>
      </c>
      <c r="N12" s="59" t="s">
        <v>54</v>
      </c>
    </row>
    <row r="13" spans="1:15" ht="59.25" customHeight="1">
      <c r="A13" s="22"/>
      <c r="B13" s="36" t="s">
        <v>55</v>
      </c>
      <c r="C13" s="8"/>
      <c r="D13" s="8"/>
      <c r="E13" s="8"/>
      <c r="F13" s="39">
        <f>F15+F39</f>
        <v>23.804777439303582</v>
      </c>
      <c r="G13" s="39">
        <f t="shared" ref="G13" si="0">G15+G39</f>
        <v>23.244254911587234</v>
      </c>
      <c r="H13" s="57">
        <f>F13*C5</f>
        <v>336894.73223199998</v>
      </c>
      <c r="I13" s="63"/>
      <c r="J13" s="63"/>
      <c r="K13" s="63"/>
      <c r="L13" s="63"/>
      <c r="M13" s="55"/>
      <c r="O13" s="2">
        <v>23.8</v>
      </c>
    </row>
    <row r="14" spans="1:15" ht="61.5" customHeight="1">
      <c r="A14" s="37"/>
      <c r="B14" s="36" t="s">
        <v>56</v>
      </c>
      <c r="C14" s="8"/>
      <c r="D14" s="8"/>
      <c r="E14" s="8"/>
      <c r="F14" s="65">
        <f>F16+F39</f>
        <v>22.194777439303582</v>
      </c>
      <c r="G14" s="39"/>
      <c r="H14" s="57">
        <f>F14*C5</f>
        <v>314109.36823200004</v>
      </c>
      <c r="I14" s="63"/>
      <c r="J14" s="63"/>
      <c r="K14" s="63"/>
      <c r="L14" s="63"/>
      <c r="M14" s="55"/>
      <c r="O14" s="2">
        <v>22.19</v>
      </c>
    </row>
    <row r="15" spans="1:15" ht="33" customHeight="1">
      <c r="A15" s="37"/>
      <c r="B15" s="9" t="s">
        <v>47</v>
      </c>
      <c r="C15" s="31"/>
      <c r="D15" s="31"/>
      <c r="E15" s="31"/>
      <c r="F15" s="31">
        <f>F17+F18+F21</f>
        <v>20.804777439303582</v>
      </c>
      <c r="G15" s="31">
        <f>G17+G19+G21</f>
        <v>20.244254911587234</v>
      </c>
      <c r="H15" s="57">
        <f>F15*C5</f>
        <v>294437.53223200003</v>
      </c>
      <c r="I15" s="63">
        <f>I27+I33+I34+I38</f>
        <v>99436</v>
      </c>
      <c r="J15" s="63">
        <f>J27+J33+J34</f>
        <v>10500</v>
      </c>
      <c r="K15" s="63">
        <f>K18+K22+K23+K24+K36+K38</f>
        <v>129380.96</v>
      </c>
      <c r="L15" s="63">
        <f>L18+L22+L23+L24+L27+L33+L34+L36+L38</f>
        <v>239316.96</v>
      </c>
      <c r="M15" s="55">
        <f>H15-L15</f>
        <v>55120.572232000035</v>
      </c>
      <c r="N15" s="55">
        <f>M15/H15*100</f>
        <v>18.720633818031107</v>
      </c>
    </row>
    <row r="16" spans="1:15" ht="32.25" customHeight="1">
      <c r="A16" s="37"/>
      <c r="B16" s="9" t="s">
        <v>48</v>
      </c>
      <c r="C16" s="31"/>
      <c r="D16" s="31"/>
      <c r="E16" s="31"/>
      <c r="F16" s="66">
        <f>F17+F19+F21</f>
        <v>19.194777439303582</v>
      </c>
      <c r="G16" s="31"/>
      <c r="H16" s="57">
        <f>F16*C5</f>
        <v>271652.16823200003</v>
      </c>
      <c r="I16" s="63">
        <f>I15</f>
        <v>99436</v>
      </c>
      <c r="J16" s="63">
        <f>J15</f>
        <v>10500</v>
      </c>
      <c r="K16" s="63">
        <f>K19+K22+K23+K24+K36+K38</f>
        <v>112780.95999999999</v>
      </c>
      <c r="L16" s="63">
        <f>L19+L22+L23+L24+L27+L33+L34+L36+L38</f>
        <v>222716.96</v>
      </c>
      <c r="M16" s="55">
        <f>H16-L16</f>
        <v>48935.208232000034</v>
      </c>
      <c r="N16" s="55">
        <f>M16/H16*100</f>
        <v>18.013921460846845</v>
      </c>
    </row>
    <row r="17" spans="1:15" ht="18.75" customHeight="1">
      <c r="A17" s="32"/>
      <c r="B17" s="38" t="s">
        <v>29</v>
      </c>
      <c r="C17" s="39"/>
      <c r="D17" s="39"/>
      <c r="E17" s="39"/>
      <c r="F17" s="48"/>
      <c r="G17" s="39">
        <v>0.51</v>
      </c>
      <c r="H17" s="54">
        <f>F17*C5</f>
        <v>0</v>
      </c>
      <c r="I17" s="63"/>
      <c r="J17" s="63"/>
      <c r="K17" s="63"/>
      <c r="L17" s="63"/>
      <c r="M17" s="55">
        <f>H17-L17</f>
        <v>0</v>
      </c>
      <c r="O17" s="2">
        <v>0.56999999999999995</v>
      </c>
    </row>
    <row r="18" spans="1:15" ht="18.75" customHeight="1">
      <c r="A18" s="32"/>
      <c r="B18" s="38" t="s">
        <v>42</v>
      </c>
      <c r="C18" s="39"/>
      <c r="D18" s="39"/>
      <c r="E18" s="39"/>
      <c r="F18" s="48">
        <f>F19*2</f>
        <v>3.22</v>
      </c>
      <c r="G18" s="39"/>
      <c r="H18" s="54">
        <f>F18*C5</f>
        <v>45570.728000000003</v>
      </c>
      <c r="I18" s="63"/>
      <c r="J18" s="63"/>
      <c r="K18" s="63">
        <f>K19*2</f>
        <v>33200</v>
      </c>
      <c r="L18" s="63">
        <f>I18+J18+K18</f>
        <v>33200</v>
      </c>
      <c r="M18" s="55">
        <f>H18-L18</f>
        <v>12370.728000000003</v>
      </c>
    </row>
    <row r="19" spans="1:15" ht="18" customHeight="1">
      <c r="A19" s="34" t="s">
        <v>32</v>
      </c>
      <c r="B19" s="38" t="s">
        <v>46</v>
      </c>
      <c r="C19" s="39"/>
      <c r="D19" s="39"/>
      <c r="E19" s="39"/>
      <c r="F19" s="48">
        <v>1.61</v>
      </c>
      <c r="G19" s="39">
        <v>4.78</v>
      </c>
      <c r="H19" s="54">
        <f>F19*C5</f>
        <v>22785.364000000001</v>
      </c>
      <c r="I19" s="63"/>
      <c r="J19" s="63"/>
      <c r="K19" s="63">
        <v>16600</v>
      </c>
      <c r="L19" s="63">
        <f>I19+J19+K19</f>
        <v>16600</v>
      </c>
      <c r="M19" s="55">
        <f t="shared" ref="M19:M39" si="1">H19-L19</f>
        <v>6185.3640000000014</v>
      </c>
    </row>
    <row r="20" spans="1:15" ht="18" customHeight="1">
      <c r="A20" s="34"/>
      <c r="B20" s="60" t="s">
        <v>40</v>
      </c>
      <c r="C20" s="30"/>
      <c r="D20" s="30"/>
      <c r="E20" s="30"/>
      <c r="F20" s="51">
        <f>F19/2</f>
        <v>0.80500000000000005</v>
      </c>
      <c r="G20" s="39">
        <v>2.98</v>
      </c>
      <c r="H20" s="54">
        <f>F20*C5</f>
        <v>11392.682000000001</v>
      </c>
      <c r="I20" s="63"/>
      <c r="J20" s="63"/>
      <c r="K20" s="63"/>
      <c r="L20" s="63"/>
      <c r="M20" s="55"/>
    </row>
    <row r="21" spans="1:15" ht="30.75" customHeight="1">
      <c r="A21" s="33" t="s">
        <v>22</v>
      </c>
      <c r="B21" s="38" t="s">
        <v>10</v>
      </c>
      <c r="C21" s="40"/>
      <c r="D21" s="40"/>
      <c r="E21" s="40"/>
      <c r="F21" s="49">
        <f>F22+F23+F38+F26+F24+F25</f>
        <v>17.584777439303583</v>
      </c>
      <c r="G21" s="40">
        <f>G22+G23+G38+G26+G24+G25</f>
        <v>14.954254911587235</v>
      </c>
      <c r="H21" s="54">
        <f>F21*C5</f>
        <v>248866.80423200002</v>
      </c>
      <c r="I21" s="63"/>
      <c r="J21" s="63"/>
      <c r="K21" s="63"/>
      <c r="L21" s="63"/>
      <c r="M21" s="55"/>
    </row>
    <row r="22" spans="1:15">
      <c r="A22" s="33" t="s">
        <v>33</v>
      </c>
      <c r="B22" s="41" t="s">
        <v>11</v>
      </c>
      <c r="C22" s="40"/>
      <c r="D22" s="40"/>
      <c r="E22" s="40"/>
      <c r="F22" s="49">
        <v>2.1280000000000001</v>
      </c>
      <c r="G22" s="40">
        <v>1.1200000000000001</v>
      </c>
      <c r="H22" s="54">
        <f>F22*C5</f>
        <v>30116.307199999999</v>
      </c>
      <c r="I22" s="63"/>
      <c r="J22" s="63"/>
      <c r="K22" s="63">
        <v>30116.31</v>
      </c>
      <c r="L22" s="63">
        <f>I22+J22+K22</f>
        <v>30116.31</v>
      </c>
      <c r="M22" s="55">
        <f t="shared" si="1"/>
        <v>-2.8000000020256266E-3</v>
      </c>
    </row>
    <row r="23" spans="1:15">
      <c r="A23" s="33" t="s">
        <v>34</v>
      </c>
      <c r="B23" s="42" t="s">
        <v>12</v>
      </c>
      <c r="C23" s="40"/>
      <c r="D23" s="40"/>
      <c r="E23" s="40"/>
      <c r="F23" s="49">
        <v>0.62</v>
      </c>
      <c r="G23" s="40">
        <v>0.62</v>
      </c>
      <c r="H23" s="54">
        <f>F23*C5</f>
        <v>8774.4879999999994</v>
      </c>
      <c r="I23" s="63"/>
      <c r="J23" s="63"/>
      <c r="K23" s="63">
        <v>8774.49</v>
      </c>
      <c r="L23" s="63">
        <f>I23+J23+K23</f>
        <v>8774.49</v>
      </c>
      <c r="M23" s="55">
        <f t="shared" si="1"/>
        <v>-2.0000000004074536E-3</v>
      </c>
    </row>
    <row r="24" spans="1:15">
      <c r="A24" s="33" t="s">
        <v>35</v>
      </c>
      <c r="B24" s="42" t="s">
        <v>38</v>
      </c>
      <c r="C24" s="40"/>
      <c r="D24" s="40"/>
      <c r="E24" s="40"/>
      <c r="F24" s="49">
        <v>1.02</v>
      </c>
      <c r="G24" s="40">
        <v>1.02</v>
      </c>
      <c r="H24" s="54">
        <f>F24*C5</f>
        <v>14435.448</v>
      </c>
      <c r="I24" s="63"/>
      <c r="J24" s="63"/>
      <c r="K24" s="63">
        <v>5500</v>
      </c>
      <c r="L24" s="63">
        <f>I24+J24+K24</f>
        <v>5500</v>
      </c>
      <c r="M24" s="55">
        <f t="shared" si="1"/>
        <v>8935.4480000000003</v>
      </c>
    </row>
    <row r="25" spans="1:15" hidden="1">
      <c r="A25" s="33" t="s">
        <v>36</v>
      </c>
      <c r="B25" s="42" t="s">
        <v>39</v>
      </c>
      <c r="C25" s="40"/>
      <c r="D25" s="40"/>
      <c r="E25" s="40"/>
      <c r="F25" s="49"/>
      <c r="G25" s="40">
        <v>1.1299999999999999</v>
      </c>
      <c r="H25" s="54">
        <f t="shared" ref="H25:H35" si="2">F25*C16</f>
        <v>0</v>
      </c>
      <c r="I25" s="63"/>
      <c r="J25" s="63"/>
      <c r="K25" s="63">
        <f t="shared" ref="K25:K35" si="3">I25+J25</f>
        <v>0</v>
      </c>
      <c r="L25" s="63">
        <f t="shared" ref="L25:L35" si="4">I25+J25+K25</f>
        <v>0</v>
      </c>
      <c r="M25" s="55">
        <f t="shared" si="1"/>
        <v>0</v>
      </c>
    </row>
    <row r="26" spans="1:15" ht="33.75" customHeight="1">
      <c r="A26" s="33" t="s">
        <v>36</v>
      </c>
      <c r="B26" s="38" t="s">
        <v>13</v>
      </c>
      <c r="C26" s="40"/>
      <c r="D26" s="40"/>
      <c r="E26" s="40"/>
      <c r="F26" s="49">
        <f>F27+F33+F34+F36+F37</f>
        <v>9.9647912721517216</v>
      </c>
      <c r="G26" s="40">
        <f>G27+G33+G34+G36+G37</f>
        <v>8.9511408287156691</v>
      </c>
      <c r="H26" s="57">
        <f>F26*C5</f>
        <v>141025.71200000003</v>
      </c>
      <c r="I26" s="63"/>
      <c r="J26" s="63"/>
      <c r="K26" s="63"/>
      <c r="L26" s="63"/>
      <c r="M26" s="55"/>
    </row>
    <row r="27" spans="1:15" ht="57.75" customHeight="1">
      <c r="A27" s="73"/>
      <c r="B27" s="10" t="s">
        <v>24</v>
      </c>
      <c r="C27" s="23"/>
      <c r="D27" s="23"/>
      <c r="E27" s="23"/>
      <c r="F27" s="50">
        <v>3.93</v>
      </c>
      <c r="G27" s="23">
        <v>2.97</v>
      </c>
      <c r="H27" s="54">
        <f>F27*C5</f>
        <v>55618.932000000001</v>
      </c>
      <c r="I27" s="63">
        <f>31474</f>
        <v>31474</v>
      </c>
      <c r="J27" s="63">
        <v>4500</v>
      </c>
      <c r="K27" s="63"/>
      <c r="L27" s="63">
        <f>I27+J27+K27</f>
        <v>35974</v>
      </c>
      <c r="M27" s="55">
        <f t="shared" si="1"/>
        <v>19644.932000000001</v>
      </c>
      <c r="O27"/>
    </row>
    <row r="28" spans="1:15" ht="15" hidden="1" customHeight="1">
      <c r="A28" s="74"/>
      <c r="B28" s="11" t="s">
        <v>14</v>
      </c>
      <c r="C28" s="23"/>
      <c r="D28" s="23"/>
      <c r="E28" s="23"/>
      <c r="F28" s="50"/>
      <c r="G28" s="23">
        <f>1000/(6006.3+4627.56)</f>
        <v>9.4039229404938557E-2</v>
      </c>
      <c r="H28" s="54">
        <f t="shared" si="2"/>
        <v>0</v>
      </c>
      <c r="I28" s="63"/>
      <c r="J28" s="63"/>
      <c r="K28" s="63">
        <f t="shared" si="3"/>
        <v>0</v>
      </c>
      <c r="L28" s="63">
        <f t="shared" si="4"/>
        <v>0</v>
      </c>
      <c r="M28" s="55">
        <f t="shared" si="1"/>
        <v>0</v>
      </c>
    </row>
    <row r="29" spans="1:15" ht="15" hidden="1" customHeight="1">
      <c r="A29" s="74"/>
      <c r="B29" s="12" t="s">
        <v>15</v>
      </c>
      <c r="C29" s="23"/>
      <c r="D29" s="23"/>
      <c r="E29" s="23"/>
      <c r="F29" s="50"/>
      <c r="G29" s="23">
        <f>1200/C5+0.01</f>
        <v>9.4791272151719841E-2</v>
      </c>
      <c r="H29" s="54">
        <f t="shared" si="2"/>
        <v>0</v>
      </c>
      <c r="I29" s="63"/>
      <c r="J29" s="63"/>
      <c r="K29" s="63">
        <f t="shared" si="3"/>
        <v>0</v>
      </c>
      <c r="L29" s="63">
        <f t="shared" si="4"/>
        <v>0</v>
      </c>
      <c r="M29" s="55">
        <f t="shared" si="1"/>
        <v>0</v>
      </c>
    </row>
    <row r="30" spans="1:15" ht="15" hidden="1" customHeight="1">
      <c r="A30" s="74"/>
      <c r="B30" s="12" t="s">
        <v>16</v>
      </c>
      <c r="C30" s="23"/>
      <c r="D30" s="23"/>
      <c r="E30" s="23"/>
      <c r="F30" s="50"/>
      <c r="G30" s="23">
        <v>7.0000000000000007E-2</v>
      </c>
      <c r="H30" s="54">
        <f t="shared" si="2"/>
        <v>0</v>
      </c>
      <c r="I30" s="63"/>
      <c r="J30" s="63"/>
      <c r="K30" s="63">
        <f t="shared" si="3"/>
        <v>0</v>
      </c>
      <c r="L30" s="63">
        <f t="shared" si="4"/>
        <v>0</v>
      </c>
      <c r="M30" s="55">
        <f t="shared" si="1"/>
        <v>0</v>
      </c>
    </row>
    <row r="31" spans="1:15" ht="15" hidden="1" customHeight="1">
      <c r="A31" s="74"/>
      <c r="B31" s="12" t="s">
        <v>27</v>
      </c>
      <c r="C31" s="23"/>
      <c r="D31" s="23"/>
      <c r="E31" s="23"/>
      <c r="F31" s="50"/>
      <c r="G31" s="23">
        <v>0.9</v>
      </c>
      <c r="H31" s="54">
        <f t="shared" si="2"/>
        <v>0</v>
      </c>
      <c r="I31" s="63"/>
      <c r="J31" s="63"/>
      <c r="K31" s="63">
        <f t="shared" si="3"/>
        <v>0</v>
      </c>
      <c r="L31" s="63">
        <f t="shared" si="4"/>
        <v>0</v>
      </c>
      <c r="M31" s="55">
        <f t="shared" si="1"/>
        <v>0</v>
      </c>
    </row>
    <row r="32" spans="1:15" ht="15" hidden="1" customHeight="1">
      <c r="A32" s="74"/>
      <c r="B32" s="43" t="s">
        <v>17</v>
      </c>
      <c r="C32" s="23"/>
      <c r="D32" s="23"/>
      <c r="E32" s="23"/>
      <c r="F32" s="51"/>
      <c r="G32" s="30">
        <v>1.2</v>
      </c>
      <c r="H32" s="54">
        <f t="shared" si="2"/>
        <v>0</v>
      </c>
      <c r="I32" s="63"/>
      <c r="J32" s="63"/>
      <c r="K32" s="63">
        <f t="shared" si="3"/>
        <v>0</v>
      </c>
      <c r="L32" s="63">
        <f t="shared" si="4"/>
        <v>0</v>
      </c>
      <c r="M32" s="55">
        <f t="shared" si="1"/>
        <v>0</v>
      </c>
    </row>
    <row r="33" spans="1:13" ht="42.75" customHeight="1">
      <c r="A33" s="74"/>
      <c r="B33" s="10" t="s">
        <v>18</v>
      </c>
      <c r="C33" s="23"/>
      <c r="D33" s="23"/>
      <c r="E33" s="23"/>
      <c r="F33" s="50">
        <v>2.56</v>
      </c>
      <c r="G33" s="23">
        <v>2.23</v>
      </c>
      <c r="H33" s="54">
        <f>F33*C5</f>
        <v>36230.144</v>
      </c>
      <c r="I33" s="63">
        <f>(16562+4000)</f>
        <v>20562</v>
      </c>
      <c r="J33" s="63">
        <v>3000</v>
      </c>
      <c r="K33" s="63"/>
      <c r="L33" s="63">
        <f>I33+J33+K33</f>
        <v>23562</v>
      </c>
      <c r="M33" s="55">
        <f t="shared" si="1"/>
        <v>12668.144</v>
      </c>
    </row>
    <row r="34" spans="1:13" ht="60.75" customHeight="1">
      <c r="A34" s="74"/>
      <c r="B34" s="13" t="s">
        <v>19</v>
      </c>
      <c r="C34" s="23"/>
      <c r="D34" s="23"/>
      <c r="E34" s="23"/>
      <c r="F34" s="50">
        <v>3.39</v>
      </c>
      <c r="G34" s="23">
        <v>3.58</v>
      </c>
      <c r="H34" s="54">
        <f>F34*C5</f>
        <v>47976.635999999999</v>
      </c>
      <c r="I34" s="63">
        <f>27400</f>
        <v>27400</v>
      </c>
      <c r="J34" s="63">
        <v>3000</v>
      </c>
      <c r="K34" s="63"/>
      <c r="L34" s="63">
        <f>I34+J34+K34</f>
        <v>30400</v>
      </c>
      <c r="M34" s="55">
        <f t="shared" si="1"/>
        <v>17576.635999999999</v>
      </c>
    </row>
    <row r="35" spans="1:13" ht="15" hidden="1" customHeight="1">
      <c r="A35" s="74"/>
      <c r="B35" s="14" t="s">
        <v>25</v>
      </c>
      <c r="C35" s="24"/>
      <c r="D35" s="24"/>
      <c r="E35" s="24"/>
      <c r="F35" s="53"/>
      <c r="G35" s="24"/>
      <c r="H35" s="54">
        <f t="shared" si="2"/>
        <v>0</v>
      </c>
      <c r="I35" s="63"/>
      <c r="J35" s="63"/>
      <c r="K35" s="63">
        <f t="shared" si="3"/>
        <v>0</v>
      </c>
      <c r="L35" s="63">
        <f t="shared" si="4"/>
        <v>0</v>
      </c>
      <c r="M35" s="55">
        <f t="shared" si="1"/>
        <v>0</v>
      </c>
    </row>
    <row r="36" spans="1:13" s="25" customFormat="1" ht="30" customHeight="1">
      <c r="A36" s="74"/>
      <c r="B36" s="10" t="s">
        <v>20</v>
      </c>
      <c r="C36" s="23"/>
      <c r="D36" s="23"/>
      <c r="E36" s="23"/>
      <c r="F36" s="50">
        <f>700/C5</f>
        <v>4.946157542183658E-2</v>
      </c>
      <c r="G36" s="23">
        <f>600/4417.9</f>
        <v>0.13581113198578512</v>
      </c>
      <c r="H36" s="54">
        <f>F36*C5</f>
        <v>700</v>
      </c>
      <c r="I36" s="63"/>
      <c r="J36" s="63"/>
      <c r="K36" s="63">
        <v>700</v>
      </c>
      <c r="L36" s="63">
        <f>I36+J36+K36</f>
        <v>700</v>
      </c>
      <c r="M36" s="55">
        <f t="shared" si="1"/>
        <v>0</v>
      </c>
    </row>
    <row r="37" spans="1:13" s="25" customFormat="1">
      <c r="A37" s="75"/>
      <c r="B37" s="10" t="s">
        <v>26</v>
      </c>
      <c r="C37" s="24"/>
      <c r="D37" s="24"/>
      <c r="E37" s="24"/>
      <c r="F37" s="53">
        <f>6000/C5/12</f>
        <v>3.5329696729883273E-2</v>
      </c>
      <c r="G37" s="24">
        <f>6000/C5/12</f>
        <v>3.5329696729883273E-2</v>
      </c>
      <c r="H37" s="54">
        <f>F37*C5</f>
        <v>500</v>
      </c>
      <c r="I37" s="63"/>
      <c r="J37" s="63"/>
      <c r="K37" s="63"/>
      <c r="L37" s="63"/>
      <c r="M37" s="55">
        <f t="shared" si="1"/>
        <v>500</v>
      </c>
    </row>
    <row r="38" spans="1:13">
      <c r="A38" s="33" t="s">
        <v>57</v>
      </c>
      <c r="B38" s="44" t="s">
        <v>21</v>
      </c>
      <c r="C38" s="40"/>
      <c r="D38" s="40"/>
      <c r="E38" s="40"/>
      <c r="F38" s="49">
        <f>(F17+F19+F22+F23+F26+F39+F24+F25)*0.21</f>
        <v>3.8519861671518614</v>
      </c>
      <c r="G38" s="40">
        <f>(G17+G19+G22+G23+G26+G39+G24+G25)*0.1</f>
        <v>2.1131140828715669</v>
      </c>
      <c r="H38" s="57">
        <f>F38*C5</f>
        <v>54514.849031999998</v>
      </c>
      <c r="I38" s="63">
        <v>20000</v>
      </c>
      <c r="J38" s="63"/>
      <c r="K38" s="63">
        <v>51090.16</v>
      </c>
      <c r="L38" s="63">
        <f>I38+J38+K38</f>
        <v>71090.16</v>
      </c>
      <c r="M38" s="55">
        <f t="shared" si="1"/>
        <v>-16575.310968000005</v>
      </c>
    </row>
    <row r="39" spans="1:13" ht="29.25" customHeight="1">
      <c r="A39" s="45" t="s">
        <v>28</v>
      </c>
      <c r="B39" s="46" t="s">
        <v>23</v>
      </c>
      <c r="C39" s="15"/>
      <c r="D39" s="15"/>
      <c r="E39" s="15"/>
      <c r="F39" s="15">
        <v>3</v>
      </c>
      <c r="G39" s="15">
        <v>3</v>
      </c>
      <c r="H39" s="58">
        <f>F39*C5</f>
        <v>42457.2</v>
      </c>
      <c r="I39" s="63"/>
      <c r="J39" s="63"/>
      <c r="K39" s="63"/>
      <c r="L39" s="63"/>
      <c r="M39" s="55">
        <f t="shared" si="1"/>
        <v>42457.2</v>
      </c>
    </row>
    <row r="40" spans="1:13">
      <c r="A40" s="26"/>
      <c r="B40" s="16"/>
      <c r="M40" s="52"/>
    </row>
    <row r="41" spans="1:13" s="28" customFormat="1" ht="12">
      <c r="A41" s="27"/>
      <c r="C41" s="29"/>
      <c r="D41" s="29"/>
      <c r="E41" s="29"/>
    </row>
    <row r="44" spans="1:13">
      <c r="B44" t="s">
        <v>45</v>
      </c>
      <c r="C44" s="2"/>
      <c r="D44" s="2"/>
      <c r="E44" s="2"/>
      <c r="F44" s="17"/>
      <c r="G44" s="17"/>
      <c r="H44" s="17"/>
    </row>
    <row r="46" spans="1:13">
      <c r="B46" s="28"/>
    </row>
  </sheetData>
  <mergeCells count="11">
    <mergeCell ref="I11:L11"/>
    <mergeCell ref="A27:A37"/>
    <mergeCell ref="C10:G10"/>
    <mergeCell ref="B4:G4"/>
    <mergeCell ref="B3:G3"/>
    <mergeCell ref="C9:G9"/>
    <mergeCell ref="A2:G2"/>
    <mergeCell ref="C5:G5"/>
    <mergeCell ref="C6:G6"/>
    <mergeCell ref="C7:G7"/>
    <mergeCell ref="C8:G8"/>
  </mergeCells>
  <pageMargins left="0.55118110236220474" right="0.19685039370078741" top="0.31496062992125984" bottom="0.74803149606299213" header="0.31496062992125984" footer="0.31496062992125984"/>
  <pageSetup paperSize="9" scale="75" orientation="portrait" r:id="rId1"/>
  <colBreaks count="1" manualBreakCount="1">
    <brk id="6" max="4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101</vt:lpstr>
      <vt:lpstr>'101'!Область_печати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2017-01-25T08:10:20Z</dcterms:modified>
</cp:coreProperties>
</file>