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8" i="2" l="1"/>
  <c r="D2" i="2" l="1"/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A109" i="1"/>
  <c r="A106" i="1"/>
  <c r="G102" i="1"/>
  <c r="F102" i="1"/>
  <c r="J101" i="1"/>
  <c r="J96" i="1"/>
  <c r="J95" i="1"/>
  <c r="A101" i="1"/>
  <c r="A99" i="1"/>
  <c r="A97" i="1"/>
  <c r="A96" i="1"/>
  <c r="A95" i="1"/>
  <c r="G94" i="1"/>
  <c r="F94" i="1"/>
  <c r="D94" i="1"/>
  <c r="A94" i="1"/>
  <c r="K94" i="1"/>
  <c r="A105" i="1" l="1"/>
  <c r="A100" i="1"/>
  <c r="A111" i="1"/>
  <c r="A123" i="1"/>
  <c r="A119" i="1"/>
  <c r="A115" i="1"/>
  <c r="A118" i="1"/>
  <c r="D110" i="1"/>
  <c r="A112" i="1"/>
  <c r="A116" i="1"/>
  <c r="A102" i="1"/>
  <c r="A103" i="1"/>
  <c r="A107" i="1"/>
  <c r="F110" i="1"/>
  <c r="A113" i="1"/>
  <c r="A117" i="1"/>
  <c r="D102" i="1"/>
  <c r="A104" i="1"/>
  <c r="A134" i="1"/>
  <c r="F118" i="1"/>
  <c r="A121" i="1"/>
  <c r="A125" i="1"/>
  <c r="F134" i="1"/>
  <c r="A137" i="1"/>
  <c r="A141" i="1"/>
  <c r="A122" i="1"/>
  <c r="A138" i="1"/>
  <c r="A135" i="1"/>
  <c r="A139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4" i="1"/>
  <c r="A184" i="1" s="1"/>
  <c r="I184" i="1" s="1"/>
  <c r="N167" i="1"/>
  <c r="A167" i="1" s="1"/>
  <c r="I167" i="1" s="1"/>
  <c r="N187" i="1"/>
  <c r="A187" i="1" s="1"/>
  <c r="I187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0" i="1"/>
  <c r="F170" i="1"/>
  <c r="H183" i="1"/>
  <c r="H186" i="1"/>
  <c r="F179" i="1"/>
  <c r="F172" i="1"/>
  <c r="H184" i="1"/>
  <c r="F164" i="1"/>
  <c r="H172" i="1"/>
  <c r="H165" i="1"/>
  <c r="F180" i="1"/>
  <c r="F165" i="1"/>
  <c r="F183" i="1"/>
  <c r="F185" i="1"/>
  <c r="F175" i="1"/>
  <c r="H178" i="1"/>
  <c r="H187" i="1"/>
  <c r="H182" i="1"/>
  <c r="H166" i="1"/>
  <c r="F187" i="1"/>
  <c r="F178" i="1"/>
  <c r="H175" i="1"/>
  <c r="F176" i="1"/>
  <c r="F184" i="1"/>
  <c r="H174" i="1"/>
  <c r="H167" i="1"/>
  <c r="H179" i="1"/>
  <c r="H180" i="1"/>
  <c r="H164" i="1"/>
  <c r="F174" i="1"/>
  <c r="F181" i="1"/>
  <c r="H176" i="1"/>
  <c r="H181" i="1"/>
  <c r="F167" i="1"/>
  <c r="H168" i="1"/>
  <c r="F168" i="1"/>
  <c r="H173" i="1"/>
  <c r="H177" i="1"/>
  <c r="F182" i="1"/>
  <c r="H169" i="1"/>
  <c r="F169" i="1"/>
  <c r="F171" i="1"/>
  <c r="H171" i="1"/>
  <c r="F173" i="1"/>
  <c r="H185" i="1"/>
  <c r="F166" i="1"/>
  <c r="F17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<sst xmlns="http://schemas.openxmlformats.org/spreadsheetml/2006/main" count="591" uniqueCount="231">
  <si>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</si>
  <si>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</si>
  <si>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</si>
  <si>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</si>
  <si>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</si>
  <si>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</si>
  <si>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</si>
  <si>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</si>
  <si>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</si>
  <si>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</si>
  <si>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</si>
  <si>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</si>
  <si>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</si>
  <si>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</si>
  <si>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</si>
  <si>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</si>
  <si>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</si>
  <si>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</si>
  <si>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</si>
  <si>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</si>
  <si>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</si>
  <si>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</si>
  <si>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</si>
  <si>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</si>
  <si>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</si>
  <si>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</si>
  <si>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</si>
  <si>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</si>
  <si>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</si>
  <si>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</si>
  <si>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</si>
  <si>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</si>
  <si>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</si>
  <si>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</si>
  <si>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</si>
  <si>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</si>
  <si>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</si>
  <si>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</si>
  <si>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</si>
  <si>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</si>
  <si>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</si>
  <si>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</si>
  <si>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</si>
  <si>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</si>
  <si>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</si>
  <si>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</si>
  <si>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</si>
  <si>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</si>
  <si>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</si>
  <si>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</si>
  <si>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</si>
  <si>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</si>
  <si>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</si>
  <si>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</si>
  <si>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</si>
  <si>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</si>
  <si>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</si>
  <si>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</si>
  <si>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</si>
  <si>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</si>
  <si>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</si>
  <si>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</si>
  <si>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</si>
  <si>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</si>
  <si>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</si>
  <si>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</si>
  <si>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</si>
  <si>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</si>
  <si>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</si>
  <si>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</si>
  <si>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</si>
  <si>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</si>
  <si>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</si>
  <si>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</si>
  <si>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</si>
  <si>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</si>
  <si>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</si>
  <si>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</si>
  <si>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</si>
  <si>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</si>
  <si>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</si>
  <si>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</si>
  <si>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</si>
  <si>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</si>
  <si>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</si>
  <si>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</si>
  <si>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</si>
  <si>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</si>
  <si>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</si>
  <si>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</si>
  <si>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</si>
  <si>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</si>
  <si>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</si>
  <si>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</si>
  <si>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</si>
  <si>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</si>
  <si>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</si>
  <si>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</si>
  <si>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</si>
  <si>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</si>
  <si>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</si>
  <si>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</si>
  <si>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</si>
  <si>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</si>
  <si>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</si>
  <si>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</si>
  <si>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</si>
  <si>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</si>
  <si>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</si>
  <si>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</si>
  <si>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</si>
  <si>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</si>
  <si>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</si>
  <si>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</si>
  <si>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</si>
  <si>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</si>
  <si>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</si>
  <si>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</si>
  <si>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</si>
  <si>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</si>
  <si>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</si>
  <si>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</si>
  <si>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</si>
  <si>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</si>
  <si>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</si>
  <si>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</si>
  <si>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</si>
  <si>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</si>
  <si>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</si>
  <si>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</si>
  <si>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</si>
  <si>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</si>
  <si>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</si>
  <si>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</si>
  <si>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</si>
  <si>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</si>
  <si>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</si>
  <si>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</si>
  <si>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</si>
  <si>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</si>
  <si>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</si>
  <si>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</si>
  <si>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</si>
  <si>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</si>
  <si>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</si>
  <si>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</si>
  <si>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</si>
  <si>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</si>
  <si>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</si>
  <si>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</si>
  <si>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</si>
  <si>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</si>
  <si>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</si>
  <si>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</si>
  <si>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</si>
  <si>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</si>
  <si>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</si>
  <si>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</si>
  <si>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</si>
  <si>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</si>
  <si>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</si>
  <si>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</si>
  <si>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</si>
  <si>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</si>
  <si>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</si>
  <si>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</si>
  <si>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</si>
  <si>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</si>
  <si>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</si>
  <si>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</si>
  <si>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</si>
  <si>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</si>
  <si>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</si>
  <si>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</si>
  <si>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</si>
  <si>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</si>
  <si>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289/7</t>
  </si>
  <si>
    <t>Работы по обеспечению пожарной безопасности</t>
  </si>
  <si>
    <t>разово</t>
  </si>
  <si>
    <t>площадь дома</t>
  </si>
  <si>
    <t>5руб.</t>
  </si>
  <si>
    <t>с 01.06.2019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</si>
  <si>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</si>
  <si>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</si>
  <si>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</si>
  <si>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289/7 в части текущего ремонта</t>
  </si>
  <si>
    <t xml:space="preserve">  -  непредвиденные затраты на ремонт шлагбаума</t>
  </si>
  <si>
    <t xml:space="preserve">  -  чистка теплообменников ГВС и отопления</t>
  </si>
  <si>
    <t xml:space="preserve">  -  благоустройство придомовой территории (покраска малых форм, разлиновка парковочных мест)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</si>
  <si>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</si>
  <si>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</si>
  <si>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</si>
  <si>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</si>
  <si>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</si>
  <si>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Механизированная уборка снега.</t>
  </si>
  <si>
    <t>Монтаж дополнительных камер системы видеонаблюдения.</t>
  </si>
  <si>
    <t>Приобретение и установка таблички по пожарной безопасности.</t>
  </si>
  <si>
    <t>Приобретение новогодней елки и гирлянды.</t>
  </si>
  <si>
    <t>Замена светильников и выключателей на незадымляемой лестнице.</t>
  </si>
  <si>
    <t>АВР 3/20 от 28.01.2020, Решение, счет №2 от 21.01.2020</t>
  </si>
  <si>
    <t>АВР 5/20 от 27.11.2019, счет №In/O-0180172 от 27.11.2019</t>
  </si>
  <si>
    <t>АВР 6/20 от 14.01.2020, счет №1 от 14.01.2020</t>
  </si>
  <si>
    <t>АВР 7/20 от 13.01.2020, Решение, счет №12 от 13.01.2020</t>
  </si>
  <si>
    <t>Изготовление и монтаж ограждения придомовой территории.</t>
  </si>
  <si>
    <t>АВР 8/20 от 04.06.2020, Решение, счет №19 от 07.05.2020</t>
  </si>
  <si>
    <t>Замена редуктора шлагбаума.</t>
  </si>
  <si>
    <t>АВР 1/20 от 12.03.2020, счет от 12.03.2020</t>
  </si>
  <si>
    <t>Ремонт системы пожарной сигнализации.</t>
  </si>
  <si>
    <t>Приобретение пожарных рукавов и стволов.</t>
  </si>
  <si>
    <t>Перекатка пожарных рукавов.</t>
  </si>
  <si>
    <t>Испытания пожарных кранов.</t>
  </si>
  <si>
    <t>Испытания ограждений кровли крыш</t>
  </si>
  <si>
    <t>Ремонт шлагбаума.</t>
  </si>
  <si>
    <t>АВР 9/20 от 30.10.2020, Решение, счет №Б400 от 30.09.2020</t>
  </si>
  <si>
    <t>Диагностика неисправностей системы видеонаблюдения.</t>
  </si>
  <si>
    <t>АВР 17/20 от 29.12.2020, счет №279 от 20.07.2020</t>
  </si>
  <si>
    <t>Техническое освидетельствование лифтов.</t>
  </si>
  <si>
    <t>ежегодно</t>
  </si>
  <si>
    <t>АВР 16/20 от 29.12.2020</t>
  </si>
  <si>
    <t>АВР 15/20 от 29.12.2020</t>
  </si>
  <si>
    <t>АВР 2/20 от 29.12.2020, Решение</t>
  </si>
  <si>
    <t>АВР 4/20 от 29.12.2020, счет №1296 от 28.10.2020</t>
  </si>
  <si>
    <t>АВР 11/20 от 29.12.2020, счет №1296 от 28.10.2020 и счет №1315 от 02.11.2020</t>
  </si>
  <si>
    <t>АВР 12/20 от 29.12.2020, счет №1296 от 28.10.2020</t>
  </si>
  <si>
    <t>АВР 13/20 от 29.12.2020, счет №1296 от 28.10.2020</t>
  </si>
  <si>
    <t>Подключение к системе АСКУТЭ.</t>
  </si>
  <si>
    <t>АВР 14/20 от 29.12.2020, Решение</t>
  </si>
  <si>
    <t>АВР 10/20 от 29.12.2020, счет №94 от 09.12.2020, Решение</t>
  </si>
  <si>
    <t xml:space="preserve">  -  косметический ремонт 1-го этажа</t>
  </si>
  <si>
    <t xml:space="preserve">  -  косметический ремонт фасада МКД</t>
  </si>
  <si>
    <t xml:space="preserve">  -  приобретение цветочных клумб (2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</si>
</sst>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195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25" fillId="0" borderId="0" xfId="0" applyNumberFormat="1" applyFont="1" applyFill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4" fontId="33" fillId="0" borderId="0" xfId="5" applyNumberFormat="1" applyFont="1" applyFill="1" applyBorder="1" applyAlignment="1"/>
    <xf numFmtId="0" fontId="19" fillId="0" borderId="0" xfId="5" applyFill="1" applyBorder="1" applyAlignment="1">
      <alignment horizontal="center"/>
    </xf>
    <xf numFmtId="0" fontId="0" fillId="0" borderId="0" xfId="0" applyBorder="1" applyProtection="1">
      <protection locked="0"/>
    </xf>
    <xf numFmtId="0" fontId="0" fillId="4" borderId="0" xfId="0" applyFill="1" applyProtection="1">
      <protection locked="0"/>
    </xf>
    <xf numFmtId="0" fontId="26" fillId="0" borderId="0" xfId="0" applyFont="1" applyBorder="1" applyAlignment="1">
      <alignment wrapText="1"/>
    </xf>
    <xf numFmtId="4" fontId="25" fillId="0" borderId="0" xfId="0" applyNumberFormat="1" applyFont="1" applyBorder="1"/>
    <xf numFmtId="0" fontId="15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2" fillId="0" borderId="0" xfId="6" applyFont="1" applyFill="1"/>
    <xf numFmtId="0" fontId="14" fillId="0" borderId="0" xfId="13" applyFont="1" applyFill="1" applyBorder="1" applyAlignment="1">
      <alignment wrapText="1"/>
    </xf>
    <xf numFmtId="0" fontId="14" fillId="0" borderId="0" xfId="13" applyFont="1" applyFill="1" applyBorder="1" applyAlignment="1">
      <alignment horizontal="center"/>
    </xf>
    <xf numFmtId="1" fontId="14" fillId="0" borderId="0" xfId="13" applyNumberFormat="1" applyFill="1" applyBorder="1" applyAlignment="1">
      <alignment horizontal="center"/>
    </xf>
    <xf numFmtId="4" fontId="33" fillId="0" borderId="0" xfId="13" applyNumberFormat="1" applyFont="1" applyFill="1" applyBorder="1" applyAlignment="1"/>
    <xf numFmtId="0" fontId="11" fillId="0" borderId="0" xfId="6" applyFont="1" applyFill="1"/>
    <xf numFmtId="0" fontId="15" fillId="0" borderId="0" xfId="5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0" fontId="20" fillId="0" borderId="0" xfId="4" applyFill="1" applyBorder="1" applyAlignment="1">
      <alignment horizontal="center"/>
    </xf>
    <xf numFmtId="0" fontId="9" fillId="0" borderId="0" xfId="6" applyFont="1" applyFill="1"/>
    <xf numFmtId="0" fontId="8" fillId="0" borderId="0" xfId="4" applyFont="1" applyFill="1" applyBorder="1" applyAlignment="1"/>
    <xf numFmtId="0" fontId="8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7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6" applyFont="1" applyFill="1"/>
    <xf numFmtId="0" fontId="19" fillId="0" borderId="0" xfId="5" applyFill="1" applyBorder="1" applyAlignment="1"/>
    <xf numFmtId="0" fontId="17" fillId="0" borderId="0" xfId="5" applyFont="1" applyFill="1" applyBorder="1" applyAlignment="1">
      <alignment horizontal="center"/>
    </xf>
    <xf numFmtId="0" fontId="2" fillId="0" borderId="0" xfId="6" applyFont="1" applyFill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13" fillId="0" borderId="0" xfId="4" applyFont="1" applyFill="1" applyBorder="1" applyAlignment="1"/>
    <xf numFmtId="0" fontId="13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7" fillId="0" borderId="0" xfId="2" applyFont="1" applyFill="1" applyBorder="1" applyAlignment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1" fillId="0" borderId="0" xfId="6" applyFont="1" applyFill="1"/>
    <xf numFmtId="4" fontId="25" fillId="0" borderId="0" xfId="0" applyNumberFormat="1" applyFont="1" applyFill="1" applyBorder="1"/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6"/>
    <cellStyle name="Обычный 2 4" xfId="10"/>
    <cellStyle name="Обычный 3" xfId="2"/>
    <cellStyle name="Обычный 3 2" xfId="7"/>
    <cellStyle name="Обычный 3 3" xfId="11"/>
    <cellStyle name="Обычный 4" xfId="4"/>
    <cellStyle name="Обычный 4 2" xfId="8"/>
    <cellStyle name="Обычный 4 3" xfId="12"/>
    <cellStyle name="Обычный 5" xfId="5"/>
    <cellStyle name="Обычный 5 2" xfId="9"/>
    <cellStyle name="Обычный 5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4" sqref="K8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5" t="s">
        <v>176</v>
      </c>
      <c r="B2" s="185"/>
      <c r="C2" s="185"/>
      <c r="D2" s="185"/>
      <c r="E2" s="185"/>
      <c r="F2" s="185"/>
      <c r="G2" s="185"/>
      <c r="H2" s="185"/>
      <c r="I2" s="185"/>
      <c r="J2" s="18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2" t="s">
        <v>2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09"/>
      <c r="L8" s="186"/>
      <c r="M8" s="109"/>
      <c r="N8" s="109"/>
      <c r="O8" s="70" t="s">
        <v>82</v>
      </c>
      <c r="R8" s="16"/>
    </row>
    <row r="9" spans="1:18" ht="18.75" customHeight="1" outlineLevel="1">
      <c r="A9" s="182" t="s">
        <v>3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09"/>
      <c r="L9" s="186"/>
      <c r="M9" s="109"/>
      <c r="N9" s="109"/>
      <c r="O9" s="70" t="s">
        <v>83</v>
      </c>
    </row>
    <row r="10" spans="1:18" ht="18.75" customHeight="1" outlineLevel="1">
      <c r="A10" s="182" t="s">
        <v>4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551205.97</v>
      </c>
      <c r="K10" s="109"/>
      <c r="L10" s="186"/>
      <c r="M10" s="109"/>
      <c r="N10" s="109"/>
      <c r="O10" s="70" t="s">
        <v>84</v>
      </c>
    </row>
    <row r="11" spans="1:18" outlineLevel="1">
      <c r="A11" s="182" t="s">
        <v>5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1058158.8799999999</v>
      </c>
      <c r="K11" s="109"/>
      <c r="L11" s="186"/>
      <c r="M11" s="109"/>
      <c r="N11" s="109"/>
      <c r="O11" s="70" t="s">
        <v>85</v>
      </c>
    </row>
    <row r="12" spans="1:18" ht="18.75" customHeight="1" outlineLevel="1">
      <c r="A12" s="182" t="s">
        <v>6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580092.34</v>
      </c>
      <c r="K12" s="109"/>
      <c r="L12" s="186"/>
      <c r="M12" s="109"/>
      <c r="N12" s="109"/>
      <c r="O12" s="70" t="s">
        <v>86</v>
      </c>
    </row>
    <row r="13" spans="1:18" ht="18.75" customHeight="1" outlineLevel="1">
      <c r="A13" s="182" t="s">
        <v>7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237564</v>
      </c>
      <c r="K13" s="109"/>
      <c r="L13" s="186"/>
      <c r="M13" s="109"/>
      <c r="N13" s="109"/>
      <c r="O13" s="70" t="s">
        <v>87</v>
      </c>
    </row>
    <row r="14" spans="1:18" ht="18.75" customHeight="1" outlineLevel="1">
      <c r="A14" s="182" t="s">
        <v>8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240502.54</v>
      </c>
      <c r="K14" s="109"/>
      <c r="L14" s="186"/>
      <c r="M14" s="109"/>
      <c r="N14" s="109"/>
      <c r="O14" s="70" t="s">
        <v>88</v>
      </c>
    </row>
    <row r="15" spans="1:18" ht="18.75" customHeight="1" outlineLevel="1">
      <c r="A15" s="182" t="s">
        <v>9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970906.51000000036</v>
      </c>
      <c r="K15" s="109"/>
      <c r="L15" s="186"/>
      <c r="M15" s="109"/>
      <c r="N15" s="109"/>
      <c r="O15" s="70" t="s">
        <v>89</v>
      </c>
    </row>
    <row r="16" spans="1:18" ht="18.75" customHeight="1" outlineLevel="1">
      <c r="A16" s="182" t="s">
        <v>10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970906.51000000036</v>
      </c>
      <c r="K16" s="109"/>
      <c r="L16" s="186"/>
      <c r="M16" s="109"/>
      <c r="N16" s="109"/>
      <c r="O16" s="70" t="s">
        <v>90</v>
      </c>
    </row>
    <row r="17" spans="1:23" ht="18.75" customHeight="1" outlineLevel="1">
      <c r="A17" s="182" t="s">
        <v>11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09"/>
      <c r="L17" s="186"/>
      <c r="M17" s="109"/>
      <c r="N17" s="109"/>
      <c r="O17" s="70" t="s">
        <v>91</v>
      </c>
    </row>
    <row r="18" spans="1:23" ht="18.75" customHeight="1" outlineLevel="1">
      <c r="A18" s="182" t="s">
        <v>12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09"/>
      <c r="L18" s="186"/>
      <c r="M18" s="109"/>
      <c r="N18" s="109"/>
      <c r="O18" s="70" t="s">
        <v>92</v>
      </c>
    </row>
    <row r="19" spans="1:23" ht="18.75" customHeight="1" outlineLevel="1">
      <c r="A19" s="182" t="s">
        <v>13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09"/>
      <c r="L19" s="186"/>
      <c r="M19" s="109"/>
      <c r="N19" s="109"/>
      <c r="O19" s="70" t="s">
        <v>93</v>
      </c>
    </row>
    <row r="20" spans="1:23" ht="18.75" customHeight="1" outlineLevel="1">
      <c r="A20" s="182" t="s">
        <v>14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09"/>
      <c r="L20" s="186"/>
      <c r="M20" s="109"/>
      <c r="N20" s="109"/>
      <c r="O20" s="70" t="s">
        <v>94</v>
      </c>
    </row>
    <row r="21" spans="1:23" ht="18.75" customHeight="1" outlineLevel="1">
      <c r="A21" s="182" t="s">
        <v>15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970906.51000000036</v>
      </c>
      <c r="K21" s="109"/>
      <c r="L21" s="186"/>
      <c r="M21" s="109"/>
      <c r="N21" s="109"/>
      <c r="O21" s="70" t="s">
        <v>95</v>
      </c>
    </row>
    <row r="22" spans="1:23" ht="18.75" customHeight="1" outlineLevel="1">
      <c r="A22" s="182" t="s">
        <v>16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09"/>
      <c r="L22" s="186"/>
      <c r="M22" s="109"/>
      <c r="N22" s="109"/>
      <c r="O22" s="70" t="s">
        <v>96</v>
      </c>
    </row>
    <row r="23" spans="1:23" ht="18.75" customHeight="1" outlineLevel="1">
      <c r="A23" s="182" t="s">
        <v>17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09"/>
      <c r="L23" s="186"/>
      <c r="M23" s="109"/>
      <c r="N23" s="109"/>
      <c r="O23" s="70" t="s">
        <v>97</v>
      </c>
    </row>
    <row r="24" spans="1:23" ht="18.75" customHeight="1" outlineLevel="1">
      <c r="A24" s="182" t="s">
        <v>18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638458.3399999995</v>
      </c>
      <c r="K24" s="109"/>
      <c r="L24" s="186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09"/>
      <c r="L27" s="18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95065.18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49888.44</v>
      </c>
      <c r="G29" s="164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4">
        <f>VLOOKUP(A30,ПТО!$A$39:$D$53,2,FALSE)</f>
        <v>56817.39</v>
      </c>
      <c r="G30" s="164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32704.63</v>
      </c>
      <c r="G31" s="164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13857.9</v>
      </c>
      <c r="G33" s="164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56817.39</v>
      </c>
      <c r="G34" s="164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Работы по обеспечению пожарной безопасности</v>
      </c>
      <c r="B35" s="163"/>
      <c r="C35" s="163"/>
      <c r="D35" s="163"/>
      <c r="E35" s="163"/>
      <c r="F35" s="164">
        <f>VLOOKUP(A35,ПТО!$A$39:$D$53,2,FALSE)</f>
        <v>29101.59</v>
      </c>
      <c r="G35" s="164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9"/>
      <c r="L35" s="187"/>
      <c r="M35" s="116"/>
      <c r="N35" s="109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4" t="e">
        <f>VLOOKUP(A36,ПТО!$A$39:$D$53,2,FALSE)</f>
        <v>#N/A</v>
      </c>
      <c r="G36" s="164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7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7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7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7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7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7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7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обслуживание охранной сигнализации.</v>
      </c>
      <c r="B43" s="163"/>
      <c r="C43" s="163"/>
      <c r="D43" s="163"/>
      <c r="E43" s="163"/>
      <c r="F43" s="164">
        <f>VLOOKUP(A43,ПТО!$A$2:$D$31,4,FALSE)</f>
        <v>10800</v>
      </c>
      <c r="G43" s="164"/>
      <c r="H43" s="19" t="str">
        <f>VLOOKUP(A43,ПТО!$A$2:$D$31,2,FALSE)</f>
        <v>ежемесячно</v>
      </c>
      <c r="I43" s="165">
        <f>VLOOKUP(A43,ПТО!$A$2:$D$31,3,FALSE)</f>
        <v>12</v>
      </c>
      <c r="J43" s="165"/>
      <c r="K43" s="109"/>
      <c r="L43" s="187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3" t="str">
        <f>ПТО!A3</f>
        <v>Техническое освидетельствование лифтов.</v>
      </c>
      <c r="B44" s="163"/>
      <c r="C44" s="163"/>
      <c r="D44" s="163"/>
      <c r="E44" s="163"/>
      <c r="F44" s="164">
        <f>VLOOKUP(A44,ПТО!$A$2:$D$31,4,FALSE)</f>
        <v>16200</v>
      </c>
      <c r="G44" s="164"/>
      <c r="H44" s="25" t="str">
        <f>VLOOKUP(A44,ПТО!$A$2:$D$31,2,FALSE)</f>
        <v>ежегодно</v>
      </c>
      <c r="I44" s="165">
        <f>VLOOKUP(A44,ПТО!$A$2:$D$31,3,FALSE)</f>
        <v>1</v>
      </c>
      <c r="J44" s="165"/>
      <c r="K44" s="109"/>
      <c r="L44" s="187"/>
      <c r="M44" s="116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3" t="str">
        <f>ПТО!A4</f>
        <v>Приобретение и установка таблички по пожарной безопасности.</v>
      </c>
      <c r="B45" s="163"/>
      <c r="C45" s="163"/>
      <c r="D45" s="163"/>
      <c r="E45" s="163"/>
      <c r="F45" s="164">
        <f>VLOOKUP(A45,ПТО!$A$2:$D$31,4,FALSE)</f>
        <v>250</v>
      </c>
      <c r="G45" s="164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7"/>
      <c r="M45" s="116"/>
      <c r="N45" s="109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63" t="str">
        <f>ПТО!A5</f>
        <v>Замена светильников и выключателей на незадымляемой лестнице.</v>
      </c>
      <c r="B46" s="163"/>
      <c r="C46" s="163"/>
      <c r="D46" s="163"/>
      <c r="E46" s="163"/>
      <c r="F46" s="164">
        <f>VLOOKUP(A46,ПТО!$A$2:$D$31,4,FALSE)</f>
        <v>17946.55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7"/>
      <c r="M46" s="116"/>
      <c r="N46" s="109"/>
      <c r="O46" s="23" t="str">
        <f t="shared" si="1"/>
        <v>Замена светильников и выключателей на незадымляемой лестнице.</v>
      </c>
      <c r="R46" s="22" t="s">
        <v>72</v>
      </c>
    </row>
    <row r="47" spans="1:18" ht="51" customHeight="1" outlineLevel="1">
      <c r="A47" s="163" t="str">
        <f>ПТО!A6</f>
        <v>Монтаж дополнительных камер системы видеонаблюдения.</v>
      </c>
      <c r="B47" s="163"/>
      <c r="C47" s="163"/>
      <c r="D47" s="163"/>
      <c r="E47" s="163"/>
      <c r="F47" s="164">
        <f>VLOOKUP(A47,ПТО!$A$2:$D$31,4,FALSE)</f>
        <v>20060.5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7"/>
      <c r="M47" s="116"/>
      <c r="N47" s="109"/>
      <c r="O47" s="23" t="str">
        <f t="shared" si="1"/>
        <v>Монтаж дополнительных камер системы видеонаблюдения.</v>
      </c>
      <c r="R47" s="22" t="s">
        <v>72</v>
      </c>
    </row>
    <row r="48" spans="1:18" ht="51" customHeight="1" outlineLevel="1">
      <c r="A48" s="163" t="str">
        <f>ПТО!A7</f>
        <v>Испытания ограждений кровли крыш</v>
      </c>
      <c r="B48" s="163"/>
      <c r="C48" s="163"/>
      <c r="D48" s="163"/>
      <c r="E48" s="163"/>
      <c r="F48" s="164">
        <f>VLOOKUP(A48,ПТО!$A$2:$D$31,4,FALSE)</f>
        <v>5500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7"/>
      <c r="M48" s="116"/>
      <c r="N48" s="109"/>
      <c r="O48" s="23" t="str">
        <f t="shared" si="1"/>
        <v>Испытания ограждений кровли крыш</v>
      </c>
      <c r="R48" s="22" t="s">
        <v>72</v>
      </c>
    </row>
    <row r="49" spans="1:18" ht="51" customHeight="1" outlineLevel="1">
      <c r="A49" s="163" t="str">
        <f>ПТО!A8</f>
        <v>Приобретение новогодней елки и гирлянды.</v>
      </c>
      <c r="B49" s="163"/>
      <c r="C49" s="163"/>
      <c r="D49" s="163"/>
      <c r="E49" s="163"/>
      <c r="F49" s="164">
        <f>VLOOKUP(A49,ПТО!$A$2:$D$31,4,FALSE)</f>
        <v>8171.71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7"/>
      <c r="M49" s="116"/>
      <c r="N49" s="109"/>
      <c r="O49" s="23" t="str">
        <f t="shared" si="1"/>
        <v>Приобретение новогодней елки и гирлянды.</v>
      </c>
      <c r="R49" s="22" t="s">
        <v>72</v>
      </c>
    </row>
    <row r="50" spans="1:18" ht="51" customHeight="1" outlineLevel="1">
      <c r="A50" s="163" t="str">
        <f>ПТО!A9</f>
        <v>Механизированная уборка снега.</v>
      </c>
      <c r="B50" s="163"/>
      <c r="C50" s="163"/>
      <c r="D50" s="163"/>
      <c r="E50" s="163"/>
      <c r="F50" s="164">
        <f>VLOOKUP(A50,ПТО!$A$2:$D$31,4,FALSE)</f>
        <v>6825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7"/>
      <c r="M50" s="116"/>
      <c r="N50" s="109"/>
      <c r="O50" s="23" t="str">
        <f t="shared" si="1"/>
        <v>Механизированная уборка снега.</v>
      </c>
      <c r="R50" s="22" t="s">
        <v>72</v>
      </c>
    </row>
    <row r="51" spans="1:18" ht="51" customHeight="1" outlineLevel="1">
      <c r="A51" s="163" t="str">
        <f>ПТО!A10</f>
        <v>Замена редуктора шлагбаума.</v>
      </c>
      <c r="B51" s="163"/>
      <c r="C51" s="163"/>
      <c r="D51" s="163"/>
      <c r="E51" s="163"/>
      <c r="F51" s="164">
        <f>VLOOKUP(A51,ПТО!$A$2:$D$31,4,FALSE)</f>
        <v>8000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7"/>
      <c r="M51" s="116"/>
      <c r="N51" s="109"/>
      <c r="O51" s="23" t="str">
        <f t="shared" si="1"/>
        <v>Замена редуктора шлагбаума.</v>
      </c>
      <c r="R51" s="22" t="s">
        <v>72</v>
      </c>
    </row>
    <row r="52" spans="1:18" ht="51" customHeight="1" outlineLevel="1">
      <c r="A52" s="163" t="str">
        <f>ПТО!A11</f>
        <v>Изготовление и монтаж ограждения придомовой территории.</v>
      </c>
      <c r="B52" s="163"/>
      <c r="C52" s="163"/>
      <c r="D52" s="163"/>
      <c r="E52" s="163"/>
      <c r="F52" s="164">
        <f>VLOOKUP(A52,ПТО!$A$2:$D$31,4,FALSE)</f>
        <v>7639.22</v>
      </c>
      <c r="G52" s="164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9"/>
      <c r="L52" s="187"/>
      <c r="M52" s="116"/>
      <c r="N52" s="109"/>
      <c r="O52" s="23" t="str">
        <f t="shared" si="1"/>
        <v>Изготовление и монтаж ограждения придомовой территории.</v>
      </c>
      <c r="R52" s="22" t="s">
        <v>72</v>
      </c>
    </row>
    <row r="53" spans="1:18" ht="51" customHeight="1" outlineLevel="1">
      <c r="A53" s="163" t="str">
        <f>ПТО!A12</f>
        <v>Ремонт шлагбаума.</v>
      </c>
      <c r="B53" s="163"/>
      <c r="C53" s="163"/>
      <c r="D53" s="163"/>
      <c r="E53" s="163"/>
      <c r="F53" s="164">
        <f>VLOOKUP(A53,ПТО!$A$2:$D$31,4,FALSE)</f>
        <v>750</v>
      </c>
      <c r="G53" s="164"/>
      <c r="H53" s="25" t="str">
        <f>VLOOKUP(A53,ПТО!$A$2:$D$31,2,FALSE)</f>
        <v>разово</v>
      </c>
      <c r="I53" s="165">
        <f>VLOOKUP(A53,ПТО!$A$2:$D$31,3,FALSE)</f>
        <v>1</v>
      </c>
      <c r="J53" s="165"/>
      <c r="K53" s="109"/>
      <c r="L53" s="187"/>
      <c r="M53" s="116"/>
      <c r="N53" s="109"/>
      <c r="O53" s="23" t="str">
        <f t="shared" si="1"/>
        <v>Ремонт шлагбаума.</v>
      </c>
      <c r="R53" s="22" t="s">
        <v>72</v>
      </c>
    </row>
    <row r="54" spans="1:18" ht="51" customHeight="1" outlineLevel="1">
      <c r="A54" s="163" t="str">
        <f>ПТО!A13</f>
        <v>Диагностика неисправностей системы видеонаблюдения.</v>
      </c>
      <c r="B54" s="163"/>
      <c r="C54" s="163"/>
      <c r="D54" s="163"/>
      <c r="E54" s="163"/>
      <c r="F54" s="164">
        <f>VLOOKUP(A54,ПТО!$A$2:$D$31,4,FALSE)</f>
        <v>750</v>
      </c>
      <c r="G54" s="164"/>
      <c r="H54" s="25" t="str">
        <f>VLOOKUP(A54,ПТО!$A$2:$D$31,2,FALSE)</f>
        <v>разово</v>
      </c>
      <c r="I54" s="165">
        <f>VLOOKUP(A54,ПТО!$A$2:$D$31,3,FALSE)</f>
        <v>1</v>
      </c>
      <c r="J54" s="165"/>
      <c r="K54" s="109"/>
      <c r="L54" s="187"/>
      <c r="M54" s="116"/>
      <c r="N54" s="109"/>
      <c r="O54" s="23" t="str">
        <f t="shared" si="1"/>
        <v>Диагностика неисправностей системы видеонаблюдения.</v>
      </c>
      <c r="R54" s="22" t="s">
        <v>72</v>
      </c>
    </row>
    <row r="55" spans="1:18" ht="51" customHeight="1" outlineLevel="1">
      <c r="A55" s="163" t="str">
        <f>ПТО!A14</f>
        <v>Приобретение пожарных рукавов и стволов.</v>
      </c>
      <c r="B55" s="163"/>
      <c r="C55" s="163"/>
      <c r="D55" s="163"/>
      <c r="E55" s="163"/>
      <c r="F55" s="164">
        <f>VLOOKUP(A55,ПТО!$A$2:$D$31,4,FALSE)</f>
        <v>18635</v>
      </c>
      <c r="G55" s="164"/>
      <c r="H55" s="25" t="str">
        <f>VLOOKUP(A55,ПТО!$A$2:$D$31,2,FALSE)</f>
        <v>разово</v>
      </c>
      <c r="I55" s="165">
        <f>VLOOKUP(A55,ПТО!$A$2:$D$31,3,FALSE)</f>
        <v>1</v>
      </c>
      <c r="J55" s="165"/>
      <c r="K55" s="109"/>
      <c r="L55" s="187"/>
      <c r="M55" s="116"/>
      <c r="N55" s="109"/>
      <c r="O55" s="23" t="str">
        <f t="shared" si="1"/>
        <v>Приобретение пожарных рукавов и стволов.</v>
      </c>
      <c r="R55" s="22" t="s">
        <v>72</v>
      </c>
    </row>
    <row r="56" spans="1:18" ht="51" customHeight="1" outlineLevel="1">
      <c r="A56" s="163" t="str">
        <f>ПТО!A15</f>
        <v>Перекатка пожарных рукавов.</v>
      </c>
      <c r="B56" s="163"/>
      <c r="C56" s="163"/>
      <c r="D56" s="163"/>
      <c r="E56" s="163"/>
      <c r="F56" s="164">
        <f>VLOOKUP(A56,ПТО!$A$2:$D$31,4,FALSE)</f>
        <v>3200</v>
      </c>
      <c r="G56" s="164"/>
      <c r="H56" s="25" t="str">
        <f>VLOOKUP(A56,ПТО!$A$2:$D$31,2,FALSE)</f>
        <v>разово</v>
      </c>
      <c r="I56" s="165">
        <f>VLOOKUP(A56,ПТО!$A$2:$D$31,3,FALSE)</f>
        <v>1</v>
      </c>
      <c r="J56" s="165"/>
      <c r="K56" s="109"/>
      <c r="L56" s="187"/>
      <c r="M56" s="116"/>
      <c r="N56" s="109"/>
      <c r="O56" s="23" t="str">
        <f t="shared" si="1"/>
        <v>Перекатка пожарных рукавов.</v>
      </c>
      <c r="R56" s="22" t="s">
        <v>72</v>
      </c>
    </row>
    <row r="57" spans="1:18" ht="51" customHeight="1" outlineLevel="1">
      <c r="A57" s="163" t="str">
        <f>ПТО!A16</f>
        <v>Испытания пожарных кранов.</v>
      </c>
      <c r="B57" s="163"/>
      <c r="C57" s="163"/>
      <c r="D57" s="163"/>
      <c r="E57" s="163"/>
      <c r="F57" s="164">
        <f>VLOOKUP(A57,ПТО!$A$2:$D$31,4,FALSE)</f>
        <v>6000</v>
      </c>
      <c r="G57" s="164"/>
      <c r="H57" s="25" t="str">
        <f>VLOOKUP(A57,ПТО!$A$2:$D$31,2,FALSE)</f>
        <v>разово</v>
      </c>
      <c r="I57" s="165">
        <f>VLOOKUP(A57,ПТО!$A$2:$D$31,3,FALSE)</f>
        <v>1</v>
      </c>
      <c r="J57" s="165"/>
      <c r="K57" s="109"/>
      <c r="L57" s="187"/>
      <c r="M57" s="116"/>
      <c r="N57" s="109"/>
      <c r="O57" s="23" t="str">
        <f t="shared" si="1"/>
        <v>Испытания пожарных кранов.</v>
      </c>
      <c r="R57" s="22" t="s">
        <v>72</v>
      </c>
    </row>
    <row r="58" spans="1:18" ht="51" customHeight="1" outlineLevel="1">
      <c r="A58" s="163" t="str">
        <f>ПТО!A17</f>
        <v>Подключение к системе АСКУТЭ.</v>
      </c>
      <c r="B58" s="163"/>
      <c r="C58" s="163"/>
      <c r="D58" s="163"/>
      <c r="E58" s="163"/>
      <c r="F58" s="164">
        <f>VLOOKUP(A58,ПТО!$A$2:$D$31,4,FALSE)</f>
        <v>2250</v>
      </c>
      <c r="G58" s="164"/>
      <c r="H58" s="25" t="str">
        <f>VLOOKUP(A58,ПТО!$A$2:$D$31,2,FALSE)</f>
        <v>разово</v>
      </c>
      <c r="I58" s="165">
        <f>VLOOKUP(A58,ПТО!$A$2:$D$31,3,FALSE)</f>
        <v>1</v>
      </c>
      <c r="J58" s="165"/>
      <c r="K58" s="109"/>
      <c r="L58" s="187"/>
      <c r="M58" s="116"/>
      <c r="N58" s="109"/>
      <c r="O58" s="23" t="str">
        <f t="shared" si="1"/>
        <v>Подключение к системе АСКУТЭ.</v>
      </c>
      <c r="R58" s="22" t="s">
        <v>72</v>
      </c>
    </row>
    <row r="59" spans="1:18" ht="51" customHeight="1" outlineLevel="1">
      <c r="A59" s="163" t="str">
        <f>ПТО!A18</f>
        <v>Ремонт системы пожарной сигнализации.</v>
      </c>
      <c r="B59" s="163"/>
      <c r="C59" s="163"/>
      <c r="D59" s="163"/>
      <c r="E59" s="163"/>
      <c r="F59" s="164">
        <f>VLOOKUP(A59,ПТО!$A$2:$D$31,4,FALSE)</f>
        <v>178346</v>
      </c>
      <c r="G59" s="164"/>
      <c r="H59" s="25" t="str">
        <f>VLOOKUP(A59,ПТО!$A$2:$D$31,2,FALSE)</f>
        <v>разово</v>
      </c>
      <c r="I59" s="165">
        <f>VLOOKUP(A59,ПТО!$A$2:$D$31,3,FALSE)</f>
        <v>1</v>
      </c>
      <c r="J59" s="165"/>
      <c r="K59" s="109"/>
      <c r="L59" s="187"/>
      <c r="M59" s="116"/>
      <c r="N59" s="109"/>
      <c r="O59" s="23" t="str">
        <f t="shared" si="1"/>
        <v>Ремонт системы пожарной сигнализации.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7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7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7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7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7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7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7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7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7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7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7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6"/>
      <c r="L71" s="187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7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70"/>
      <c r="M75" s="109"/>
      <c r="N75" s="109"/>
      <c r="O75" s="70" t="s">
        <v>99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70"/>
      <c r="M76" s="109"/>
      <c r="N76" s="109"/>
      <c r="O76" s="70" t="s">
        <v>100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70"/>
      <c r="M77" s="109"/>
      <c r="N77" s="109"/>
      <c r="O77" s="70" t="s">
        <v>101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70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1" t="s">
        <v>2</v>
      </c>
      <c r="B81" s="171"/>
      <c r="C81" s="171"/>
      <c r="D81" s="171"/>
      <c r="E81" s="171"/>
      <c r="F81" s="171"/>
      <c r="G81" s="171"/>
      <c r="H81" s="171"/>
      <c r="I81" s="171"/>
      <c r="J81" s="97">
        <f t="shared" ref="J81:J90" si="2">VLOOKUP(O81,АО,3,FALSE)</f>
        <v>0</v>
      </c>
      <c r="K81" s="109"/>
      <c r="L81" s="188"/>
      <c r="M81" s="109"/>
      <c r="N81" s="109"/>
      <c r="O81" s="70" t="s">
        <v>103</v>
      </c>
    </row>
    <row r="82" spans="1:15" outlineLevel="1">
      <c r="A82" s="171" t="s">
        <v>3</v>
      </c>
      <c r="B82" s="171"/>
      <c r="C82" s="171"/>
      <c r="D82" s="171"/>
      <c r="E82" s="171"/>
      <c r="F82" s="171"/>
      <c r="G82" s="171"/>
      <c r="H82" s="171"/>
      <c r="I82" s="171"/>
      <c r="J82" s="97">
        <f t="shared" si="2"/>
        <v>0</v>
      </c>
      <c r="K82" s="109"/>
      <c r="L82" s="188"/>
      <c r="M82" s="109"/>
      <c r="N82" s="109"/>
      <c r="O82" s="70" t="s">
        <v>104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7">
        <f t="shared" si="2"/>
        <v>48397.71</v>
      </c>
      <c r="K83" s="109"/>
      <c r="L83" s="188"/>
      <c r="M83" s="109"/>
      <c r="N83" s="109"/>
      <c r="O83" s="70" t="s">
        <v>105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7">
        <f t="shared" si="2"/>
        <v>0</v>
      </c>
      <c r="K84" s="109"/>
      <c r="L84" s="188"/>
      <c r="M84" s="109"/>
      <c r="N84" s="109"/>
      <c r="O84" s="70" t="s">
        <v>106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7">
        <f t="shared" si="2"/>
        <v>0</v>
      </c>
      <c r="K85" s="109"/>
      <c r="L85" s="188"/>
      <c r="M85" s="109"/>
      <c r="N85" s="109"/>
      <c r="O85" s="70" t="s">
        <v>107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7">
        <f t="shared" si="2"/>
        <v>67153.790000000095</v>
      </c>
      <c r="K86" s="109"/>
      <c r="L86" s="188"/>
      <c r="M86" s="109"/>
      <c r="N86" s="109"/>
      <c r="O86" s="70" t="s">
        <v>108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9"/>
      <c r="L87" s="188"/>
      <c r="M87" s="109"/>
      <c r="N87" s="109"/>
      <c r="O87" s="70" t="s">
        <v>109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9"/>
      <c r="L88" s="188"/>
      <c r="M88" s="109"/>
      <c r="N88" s="109"/>
      <c r="O88" s="70" t="s">
        <v>110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9"/>
      <c r="L89" s="188"/>
      <c r="M89" s="109"/>
      <c r="N89" s="109"/>
      <c r="O89" s="70" t="s">
        <v>111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7">
        <f t="shared" si="2"/>
        <v>0</v>
      </c>
      <c r="K90" s="109"/>
      <c r="L90" s="188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2" t="s">
        <v>48</v>
      </c>
      <c r="B93" s="172"/>
      <c r="C93" s="172"/>
      <c r="D93" s="175" t="s">
        <v>49</v>
      </c>
      <c r="E93" s="175"/>
      <c r="F93" s="10" t="s">
        <v>50</v>
      </c>
      <c r="G93" s="172" t="s">
        <v>51</v>
      </c>
      <c r="H93" s="172"/>
      <c r="I93" s="172"/>
      <c r="J93" s="172"/>
      <c r="K93" s="109"/>
      <c r="L93" s="109"/>
      <c r="M93" s="109"/>
      <c r="N93" s="109"/>
    </row>
    <row r="94" spans="1:15" outlineLevel="1">
      <c r="A94" s="176" t="str">
        <f>IF(VLOOKUP("эл",АО,3,FALSE)&gt;0,"Электроснабжение",0)</f>
        <v>Электроснабжение</v>
      </c>
      <c r="B94" s="176"/>
      <c r="C94" s="176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3">
        <f>VLOOKUP("эл",АО,5,FALSE)</f>
        <v>56420.04</v>
      </c>
      <c r="H94" s="174"/>
      <c r="I94" s="174"/>
      <c r="J94" s="174"/>
      <c r="K94" s="1" t="str">
        <f>VLOOKUP("эл",АО,2,FALSE)</f>
        <v>Электроснабжение</v>
      </c>
      <c r="L94" s="189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49491.26</v>
      </c>
      <c r="L95" s="189"/>
      <c r="O95" s="1" t="s">
        <v>113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51287.780000000006</v>
      </c>
      <c r="L96" s="189"/>
      <c r="O96" s="1" t="s">
        <v>114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5132.2599999999948</v>
      </c>
      <c r="L97" s="189"/>
      <c r="O97" s="1" t="s">
        <v>115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56420.04</v>
      </c>
      <c r="L98" s="189"/>
      <c r="O98" s="1" t="s">
        <v>116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56420.04</v>
      </c>
      <c r="L99" s="189"/>
      <c r="O99" s="1" t="s">
        <v>117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118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89"/>
      <c r="O101" s="1" t="s">
        <v>119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3">
        <f>VLOOKUP("хвс",АО,5,FALSE)</f>
        <v>9448.2000000000025</v>
      </c>
      <c r="H102" s="174"/>
      <c r="I102" s="174"/>
      <c r="J102" s="174"/>
      <c r="L102" s="189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698.31485587583165</v>
      </c>
      <c r="L103" s="189"/>
      <c r="O103" s="1" t="s">
        <v>122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10007.039999999999</v>
      </c>
      <c r="L104" s="189"/>
      <c r="O104" s="1" t="s">
        <v>123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0</v>
      </c>
      <c r="L105" s="189"/>
      <c r="O105" s="1" t="s">
        <v>124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9448.2000000000025</v>
      </c>
      <c r="L106" s="189"/>
      <c r="O106" s="1" t="s">
        <v>125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9448.2000000000025</v>
      </c>
      <c r="L107" s="189"/>
      <c r="O107" s="1" t="s">
        <v>126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127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89"/>
      <c r="O109" s="1" t="s">
        <v>128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3">
        <f>VLOOKUP("воо",АО,5,FALSE)</f>
        <v>11205.84</v>
      </c>
      <c r="H110" s="174"/>
      <c r="I110" s="174"/>
      <c r="J110" s="174"/>
      <c r="L110" s="189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726.24</v>
      </c>
      <c r="L111" s="189"/>
      <c r="O111" s="1" t="s">
        <v>130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12082.37</v>
      </c>
      <c r="L112" s="189"/>
      <c r="O112" s="1" t="s">
        <v>131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0</v>
      </c>
      <c r="L113" s="189"/>
      <c r="O113" s="1" t="s">
        <v>132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11205.84</v>
      </c>
      <c r="L114" s="189"/>
      <c r="O114" s="1" t="s">
        <v>133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11205.84</v>
      </c>
      <c r="L115" s="189"/>
      <c r="O115" s="1" t="s">
        <v>134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135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9"/>
      <c r="O117" s="1" t="s">
        <v>136</v>
      </c>
    </row>
    <row r="118" spans="1:15" ht="32.25" customHeight="1" outlineLevel="1">
      <c r="A118" s="176" t="str">
        <f>IF(VLOOKUP("тко",АО,3,FALSE)&gt;0,"Обращение с ТКО",0)</f>
        <v>Обращение с ТКО</v>
      </c>
      <c r="B118" s="176"/>
      <c r="C118" s="176"/>
      <c r="D118" s="174" t="str">
        <f>IF(VLOOKUP("тко",АО,3,FALSE)&gt;0,VLOOKUP("тко",АО,3,FALSE),0)</f>
        <v>Предоставляется</v>
      </c>
      <c r="E118" s="174"/>
      <c r="F118" s="13" t="str">
        <f>IF(VLOOKUP("тко",АО,3,FALSE)&gt;0,VLOOKUP("тко",АО,4,FALSE),0)</f>
        <v>куб.м.</v>
      </c>
      <c r="G118" s="173">
        <f>VLOOKUP("тко",АО,5,FALSE)</f>
        <v>178974.7300000001</v>
      </c>
      <c r="H118" s="174"/>
      <c r="I118" s="174"/>
      <c r="J118" s="174"/>
      <c r="L118" s="47"/>
    </row>
    <row r="119" spans="1:15" ht="32.25" customHeight="1" outlineLevel="2">
      <c r="A119" s="171" t="str">
        <f t="shared" ref="A119:A125" si="8">IF(VLOOKUP("тко",АО,3,FALSE)&gt;0,VLOOKUP(O119,АО,2,FALSE),0)</f>
        <v>Общий объем потребления, нат. показ.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315.7</v>
      </c>
      <c r="L119" s="47"/>
      <c r="O119" s="1" t="s">
        <v>138</v>
      </c>
    </row>
    <row r="120" spans="1:15" ht="32.25" customHeight="1" outlineLevel="2">
      <c r="A120" s="171" t="str">
        <f t="shared" si="8"/>
        <v>Оплачено потребителями, руб.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163915.53999999995</v>
      </c>
      <c r="L120" s="47"/>
      <c r="O120" s="1" t="s">
        <v>139</v>
      </c>
    </row>
    <row r="121" spans="1:15" ht="32.25" customHeight="1" outlineLevel="2">
      <c r="A121" s="171" t="str">
        <f t="shared" si="8"/>
        <v>Задолженность потребителей, руб.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15059.190000000148</v>
      </c>
      <c r="L121" s="47"/>
      <c r="O121" s="1" t="s">
        <v>140</v>
      </c>
    </row>
    <row r="122" spans="1:15" ht="32.25" customHeight="1" outlineLevel="2">
      <c r="A122" s="171" t="str">
        <f t="shared" si="8"/>
        <v>Начислено поставщиком (поставщиками) коммунального ресурса, руб.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178974.7300000001</v>
      </c>
      <c r="L122" s="47"/>
      <c r="O122" s="1" t="s">
        <v>141</v>
      </c>
    </row>
    <row r="123" spans="1:15" ht="32.25" customHeight="1" outlineLevel="2">
      <c r="A123" s="171" t="str">
        <f t="shared" si="8"/>
        <v>Оплачено поставщику (поставщикам) коммунального ресурса, руб.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178974.7300000001</v>
      </c>
      <c r="L123" s="47"/>
      <c r="O123" s="1" t="s">
        <v>142</v>
      </c>
    </row>
    <row r="124" spans="1:15" ht="32.25" customHeight="1" outlineLevel="2">
      <c r="A124" s="171" t="str">
        <f t="shared" si="8"/>
        <v>Задолженность перед поставщиком (поставщиками) коммунального ресурса, руб.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1" t="str">
        <f t="shared" si="8"/>
        <v>Размер пени и штрафов, уплаченных поставщику (поставщикам) коммунального ресурса, руб.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6">
        <f>IF(VLOOKUP("гвс",АО,3,FALSE)&gt;0,"Горячее водоснабжение",0)</f>
        <v>0</v>
      </c>
      <c r="B126" s="176"/>
      <c r="C126" s="176"/>
      <c r="D126" s="174">
        <f>IF(VLOOKUP("гвс",АО,3,FALSE)&gt;0,VLOOKUP("гвс",АО,3,FALSE),0)</f>
        <v>0</v>
      </c>
      <c r="E126" s="174"/>
      <c r="F126" s="13">
        <f>IF(VLOOKUP("гвс",АО,3,FALSE)&gt;0,VLOOKUP("гвс",АО,4,FALSE),0)</f>
        <v>0</v>
      </c>
      <c r="G126" s="173">
        <f>VLOOKUP("гвс",АО,5,FALSE)</f>
        <v>0</v>
      </c>
      <c r="H126" s="174"/>
      <c r="I126" s="174"/>
      <c r="J126" s="174"/>
      <c r="L126" s="47"/>
    </row>
    <row r="127" spans="1:15" ht="32.25" hidden="1" customHeight="1" outlineLevel="2">
      <c r="A127" s="171">
        <f t="shared" ref="A127:A133" si="10">IF(VLOOKUP("гвс",АО,3,FALSE)&gt;0,VLOOKUP(O127,АО,2,FALSE),0)</f>
        <v>0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1">
        <f t="shared" si="10"/>
        <v>0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1">
        <f t="shared" si="10"/>
        <v>0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1">
        <f t="shared" si="10"/>
        <v>0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1">
        <f t="shared" si="10"/>
        <v>0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1">
        <f t="shared" si="10"/>
        <v>0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1">
        <f t="shared" si="10"/>
        <v>0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3">
        <f>VLOOKUP("отопление",АО,5,FALSE)</f>
        <v>0</v>
      </c>
      <c r="H134" s="174"/>
      <c r="I134" s="174"/>
      <c r="J134" s="174"/>
      <c r="L134" s="47"/>
    </row>
    <row r="135" spans="1:15" ht="32.25" hidden="1" customHeight="1" outlineLevel="2">
      <c r="A135" s="171">
        <f t="shared" ref="A135:A141" si="12">IF(VLOOKUP("отопление",АО,3,FALSE)&gt;0,VLOOKUP(O135,АО,2,FALSE),0)</f>
        <v>0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1">
        <f t="shared" si="12"/>
        <v>0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1">
        <f t="shared" si="12"/>
        <v>0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1">
        <f t="shared" si="12"/>
        <v>0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1">
        <f t="shared" si="12"/>
        <v>0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1">
        <f t="shared" si="12"/>
        <v>0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1">
        <f t="shared" si="12"/>
        <v>0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1" t="s">
        <v>45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0</v>
      </c>
      <c r="O144" t="s">
        <v>170</v>
      </c>
    </row>
    <row r="145" spans="1:15" ht="18.75" customHeight="1" outlineLevel="1">
      <c r="A145" s="171" t="s">
        <v>46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71" t="s">
        <v>173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0</v>
      </c>
      <c r="O146" t="s">
        <v>172</v>
      </c>
    </row>
    <row r="149" spans="1:15" ht="52.5" customHeight="1">
      <c r="A149" s="167" t="s">
        <v>185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6" t="s">
        <v>189</v>
      </c>
      <c r="B154" s="166"/>
      <c r="C154" s="166"/>
      <c r="D154" s="166"/>
      <c r="E154" s="27">
        <f>ПТО!G1</f>
        <v>63554.97</v>
      </c>
    </row>
    <row r="155" spans="1:15" ht="34.5" customHeight="1">
      <c r="A155" s="168" t="s">
        <v>191</v>
      </c>
      <c r="B155" s="168"/>
      <c r="C155" s="168"/>
      <c r="D155" s="168"/>
      <c r="E155" s="28">
        <f>J13</f>
        <v>237564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3" t="str">
        <f t="shared" ref="A158:A163" si="14">IF(N158&gt;0,N158,0)</f>
        <v>Техническое обслуживание охранной сигнализации.</v>
      </c>
      <c r="B158" s="163"/>
      <c r="C158" s="163"/>
      <c r="D158" s="163"/>
      <c r="E158" s="163"/>
      <c r="F158" s="164">
        <f t="shared" ref="F158:F163" si="15">IF(ISERROR(VLOOKUP(A158,$A$28:$J$72,6,FALSE)),0,VLOOKUP(A158,$A$28:$J$72,6,FALSE))</f>
        <v>10800</v>
      </c>
      <c r="G158" s="164"/>
      <c r="H158" s="24" t="str">
        <f t="shared" ref="H158:H187" si="16">VLOOKUP(A158,$A$28:$J$72,8,FALSE)</f>
        <v>ежемесячно</v>
      </c>
      <c r="I158" s="165">
        <f t="shared" ref="I158:I161" si="17">VLOOKUP(A158,$A$28:$J$72,9,FALSE)</f>
        <v>12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3" t="str">
        <f t="shared" si="14"/>
        <v>Техническое освидетельствование лифтов.</v>
      </c>
      <c r="B159" s="163"/>
      <c r="C159" s="163"/>
      <c r="D159" s="163"/>
      <c r="E159" s="163"/>
      <c r="F159" s="164">
        <f t="shared" si="15"/>
        <v>16200</v>
      </c>
      <c r="G159" s="164"/>
      <c r="H159" s="24" t="str">
        <f t="shared" si="16"/>
        <v>ежегодно</v>
      </c>
      <c r="I159" s="165">
        <f t="shared" si="17"/>
        <v>1</v>
      </c>
      <c r="J159" s="165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3" t="str">
        <f t="shared" si="14"/>
        <v>Приобретение и установка таблички по пожарной безопасности.</v>
      </c>
      <c r="B160" s="163"/>
      <c r="C160" s="163"/>
      <c r="D160" s="163"/>
      <c r="E160" s="163"/>
      <c r="F160" s="164">
        <f t="shared" si="15"/>
        <v>250</v>
      </c>
      <c r="G160" s="164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63" t="str">
        <f>IF(N161&gt;0,N161,0)</f>
        <v>Замена светильников и выключателей на незадымляемой лестнице.</v>
      </c>
      <c r="B161" s="163"/>
      <c r="C161" s="163"/>
      <c r="D161" s="163"/>
      <c r="E161" s="163"/>
      <c r="F161" s="164">
        <f t="shared" si="15"/>
        <v>17946.55</v>
      </c>
      <c r="G161" s="164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Замена светильников и выключателей на незадымляемой лестнице.</v>
      </c>
    </row>
    <row r="162" spans="1:14" ht="28.5" customHeight="1">
      <c r="A162" s="163" t="str">
        <f t="shared" si="14"/>
        <v>Монтаж дополнительных камер системы видеонаблюдения.</v>
      </c>
      <c r="B162" s="163"/>
      <c r="C162" s="163"/>
      <c r="D162" s="163"/>
      <c r="E162" s="163"/>
      <c r="F162" s="164">
        <f t="shared" si="15"/>
        <v>20060.5</v>
      </c>
      <c r="G162" s="164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Монтаж дополнительных камер системы видеонаблюдения.</v>
      </c>
    </row>
    <row r="163" spans="1:14" ht="28.5" customHeight="1">
      <c r="A163" s="163" t="str">
        <f t="shared" si="14"/>
        <v>Испытания ограждений кровли крыш</v>
      </c>
      <c r="B163" s="163"/>
      <c r="C163" s="163"/>
      <c r="D163" s="163"/>
      <c r="E163" s="163"/>
      <c r="F163" s="164">
        <f t="shared" si="15"/>
        <v>5500</v>
      </c>
      <c r="G163" s="164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Испытания ограждений кровли крыш</v>
      </c>
    </row>
    <row r="164" spans="1:14" ht="28.5" customHeight="1">
      <c r="A164" s="163" t="str">
        <f t="shared" ref="A164:A187" si="18">IF(N164&gt;0,N164,0)</f>
        <v>Приобретение новогодней елки и гирлянды.</v>
      </c>
      <c r="B164" s="163"/>
      <c r="C164" s="163"/>
      <c r="D164" s="163"/>
      <c r="E164" s="163"/>
      <c r="F164" s="164">
        <f t="shared" ref="F164:F187" si="19">IF(ISERROR(VLOOKUP(A164,$A$28:$J$72,6,FALSE)),0,VLOOKUP(A164,$A$28:$J$72,6,FALSE))</f>
        <v>8171.71</v>
      </c>
      <c r="G164" s="164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Приобретение новогодней елки и гирлянды.</v>
      </c>
    </row>
    <row r="165" spans="1:14" ht="28.5" customHeight="1">
      <c r="A165" s="163" t="str">
        <f t="shared" si="18"/>
        <v>Механизированная уборка снега.</v>
      </c>
      <c r="B165" s="163"/>
      <c r="C165" s="163"/>
      <c r="D165" s="163"/>
      <c r="E165" s="163"/>
      <c r="F165" s="164">
        <f t="shared" si="19"/>
        <v>6825</v>
      </c>
      <c r="G165" s="164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Механизированная уборка снега.</v>
      </c>
    </row>
    <row r="166" spans="1:14" ht="28.5" customHeight="1">
      <c r="A166" s="163" t="str">
        <f t="shared" si="18"/>
        <v>Замена редуктора шлагбаума.</v>
      </c>
      <c r="B166" s="163"/>
      <c r="C166" s="163"/>
      <c r="D166" s="163"/>
      <c r="E166" s="163"/>
      <c r="F166" s="164">
        <f t="shared" si="19"/>
        <v>8000</v>
      </c>
      <c r="G166" s="164"/>
      <c r="H166" s="29" t="str">
        <f t="shared" si="16"/>
        <v>разово</v>
      </c>
      <c r="I166" s="165">
        <f t="shared" si="20"/>
        <v>1</v>
      </c>
      <c r="J166" s="165"/>
      <c r="M166" s="22" t="s">
        <v>72</v>
      </c>
      <c r="N166" s="1" t="str">
        <v>Замена редуктора шлагбаума.</v>
      </c>
    </row>
    <row r="167" spans="1:14" ht="28.5" customHeight="1">
      <c r="A167" s="163" t="str">
        <f t="shared" si="18"/>
        <v>Изготовление и монтаж ограждения придомовой территории.</v>
      </c>
      <c r="B167" s="163"/>
      <c r="C167" s="163"/>
      <c r="D167" s="163"/>
      <c r="E167" s="163"/>
      <c r="F167" s="164">
        <f t="shared" si="19"/>
        <v>7639.22</v>
      </c>
      <c r="G167" s="164"/>
      <c r="H167" s="29" t="str">
        <f t="shared" si="16"/>
        <v>разово</v>
      </c>
      <c r="I167" s="165">
        <f t="shared" si="20"/>
        <v>1</v>
      </c>
      <c r="J167" s="165"/>
      <c r="M167" s="22" t="s">
        <v>72</v>
      </c>
      <c r="N167" s="1" t="str">
        <v>Изготовление и монтаж ограждения придомовой территории.</v>
      </c>
    </row>
    <row r="168" spans="1:14" ht="28.5" customHeight="1">
      <c r="A168" s="163" t="str">
        <f t="shared" si="18"/>
        <v>Ремонт шлагбаума.</v>
      </c>
      <c r="B168" s="163"/>
      <c r="C168" s="163"/>
      <c r="D168" s="163"/>
      <c r="E168" s="163"/>
      <c r="F168" s="164">
        <f t="shared" si="19"/>
        <v>750</v>
      </c>
      <c r="G168" s="164"/>
      <c r="H168" s="29" t="str">
        <f t="shared" si="16"/>
        <v>разово</v>
      </c>
      <c r="I168" s="165">
        <f t="shared" si="20"/>
        <v>1</v>
      </c>
      <c r="J168" s="165"/>
      <c r="M168" s="22" t="s">
        <v>72</v>
      </c>
      <c r="N168" s="1" t="str">
        <v>Ремонт шлагбаума.</v>
      </c>
    </row>
    <row r="169" spans="1:14" ht="28.5" customHeight="1">
      <c r="A169" s="163" t="str">
        <f t="shared" si="18"/>
        <v>Диагностика неисправностей системы видеонаблюдения.</v>
      </c>
      <c r="B169" s="163"/>
      <c r="C169" s="163"/>
      <c r="D169" s="163"/>
      <c r="E169" s="163"/>
      <c r="F169" s="164">
        <f t="shared" si="19"/>
        <v>750</v>
      </c>
      <c r="G169" s="164"/>
      <c r="H169" s="29" t="str">
        <f t="shared" si="16"/>
        <v>разово</v>
      </c>
      <c r="I169" s="165">
        <f t="shared" si="20"/>
        <v>1</v>
      </c>
      <c r="J169" s="165"/>
      <c r="M169" s="22" t="s">
        <v>72</v>
      </c>
      <c r="N169" s="1" t="str">
        <v>Диагностика неисправностей системы видеонаблюдения.</v>
      </c>
    </row>
    <row r="170" spans="1:14" ht="28.5" customHeight="1">
      <c r="A170" s="163" t="str">
        <f t="shared" si="18"/>
        <v>Приобретение пожарных рукавов и стволов.</v>
      </c>
      <c r="B170" s="163"/>
      <c r="C170" s="163"/>
      <c r="D170" s="163"/>
      <c r="E170" s="163"/>
      <c r="F170" s="164">
        <f t="shared" si="19"/>
        <v>18635</v>
      </c>
      <c r="G170" s="164"/>
      <c r="H170" s="29" t="str">
        <f t="shared" si="16"/>
        <v>разово</v>
      </c>
      <c r="I170" s="165">
        <f t="shared" si="20"/>
        <v>1</v>
      </c>
      <c r="J170" s="165"/>
      <c r="M170" s="22" t="s">
        <v>72</v>
      </c>
      <c r="N170" s="1" t="str">
        <v>Приобретение пожарных рукавов и стволов.</v>
      </c>
    </row>
    <row r="171" spans="1:14" ht="28.5" customHeight="1">
      <c r="A171" s="163" t="str">
        <f t="shared" si="18"/>
        <v>Перекатка пожарных рукавов.</v>
      </c>
      <c r="B171" s="163"/>
      <c r="C171" s="163"/>
      <c r="D171" s="163"/>
      <c r="E171" s="163"/>
      <c r="F171" s="164">
        <f t="shared" si="19"/>
        <v>3200</v>
      </c>
      <c r="G171" s="164"/>
      <c r="H171" s="29" t="str">
        <f t="shared" si="16"/>
        <v>разово</v>
      </c>
      <c r="I171" s="165">
        <f t="shared" si="20"/>
        <v>1</v>
      </c>
      <c r="J171" s="165"/>
      <c r="M171" s="22" t="s">
        <v>72</v>
      </c>
      <c r="N171" s="1" t="str">
        <v>Перекатка пожарных рукавов.</v>
      </c>
    </row>
    <row r="172" spans="1:14" ht="28.5" customHeight="1">
      <c r="A172" s="163" t="str">
        <f t="shared" si="18"/>
        <v>Испытания пожарных кранов.</v>
      </c>
      <c r="B172" s="163"/>
      <c r="C172" s="163"/>
      <c r="D172" s="163"/>
      <c r="E172" s="163"/>
      <c r="F172" s="164">
        <f t="shared" si="19"/>
        <v>6000</v>
      </c>
      <c r="G172" s="164"/>
      <c r="H172" s="29" t="str">
        <f t="shared" si="16"/>
        <v>разово</v>
      </c>
      <c r="I172" s="165">
        <f t="shared" si="20"/>
        <v>1</v>
      </c>
      <c r="J172" s="165"/>
      <c r="M172" s="22" t="s">
        <v>72</v>
      </c>
      <c r="N172" s="1" t="str">
        <v>Испытания пожарных кранов.</v>
      </c>
    </row>
    <row r="173" spans="1:14" ht="28.5" customHeight="1">
      <c r="A173" s="163" t="str">
        <f t="shared" si="18"/>
        <v>Подключение к системе АСКУТЭ.</v>
      </c>
      <c r="B173" s="163"/>
      <c r="C173" s="163"/>
      <c r="D173" s="163"/>
      <c r="E173" s="163"/>
      <c r="F173" s="164">
        <f t="shared" si="19"/>
        <v>2250</v>
      </c>
      <c r="G173" s="164"/>
      <c r="H173" s="29" t="str">
        <f t="shared" si="16"/>
        <v>разово</v>
      </c>
      <c r="I173" s="165">
        <f t="shared" si="20"/>
        <v>1</v>
      </c>
      <c r="J173" s="165"/>
      <c r="M173" s="22" t="s">
        <v>72</v>
      </c>
      <c r="N173" s="1" t="str">
        <v>Подключение к системе АСКУТЭ.</v>
      </c>
    </row>
    <row r="174" spans="1:14" ht="28.5" customHeight="1">
      <c r="A174" s="163" t="str">
        <f t="shared" si="18"/>
        <v>Ремонт системы пожарной сигнализации.</v>
      </c>
      <c r="B174" s="163"/>
      <c r="C174" s="163"/>
      <c r="D174" s="163"/>
      <c r="E174" s="163"/>
      <c r="F174" s="164">
        <f t="shared" si="19"/>
        <v>178346</v>
      </c>
      <c r="G174" s="164"/>
      <c r="H174" s="29" t="str">
        <f t="shared" si="16"/>
        <v>разово</v>
      </c>
      <c r="I174" s="165">
        <f t="shared" si="20"/>
        <v>1</v>
      </c>
      <c r="J174" s="165"/>
      <c r="M174" s="22" t="s">
        <v>72</v>
      </c>
      <c r="N174" s="1" t="str">
        <v>Ремонт системы пожарной сигнализации.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4">
        <f t="shared" si="19"/>
        <v>0</v>
      </c>
      <c r="G175" s="164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4">
        <f t="shared" si="19"/>
        <v>0</v>
      </c>
      <c r="G176" s="164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4">
        <f t="shared" si="19"/>
        <v>0</v>
      </c>
      <c r="G177" s="164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4">
        <f t="shared" si="19"/>
        <v>0</v>
      </c>
      <c r="G178" s="164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4">
        <f t="shared" si="19"/>
        <v>0</v>
      </c>
      <c r="G179" s="164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4">
        <f t="shared" si="19"/>
        <v>0</v>
      </c>
      <c r="G180" s="164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4">
        <f t="shared" si="19"/>
        <v>0</v>
      </c>
      <c r="G181" s="164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4">
        <f t="shared" si="19"/>
        <v>0</v>
      </c>
      <c r="G182" s="164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4">
        <f t="shared" si="19"/>
        <v>0</v>
      </c>
      <c r="G183" s="164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4">
        <f t="shared" si="19"/>
        <v>0</v>
      </c>
      <c r="G184" s="164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4">
        <f t="shared" si="19"/>
        <v>0</v>
      </c>
      <c r="G185" s="164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4">
        <f t="shared" si="19"/>
        <v>0</v>
      </c>
      <c r="G186" s="164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4">
        <f t="shared" si="19"/>
        <v>0</v>
      </c>
      <c r="G187" s="164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66" t="s">
        <v>193</v>
      </c>
      <c r="B190" s="166"/>
      <c r="C190" s="166"/>
      <c r="D190" s="166"/>
      <c r="E190" s="27">
        <f>SUM(F158:G187)</f>
        <v>311323.98</v>
      </c>
    </row>
    <row r="191" spans="1:14" ht="51.75" customHeight="1">
      <c r="A191" s="166" t="s">
        <v>192</v>
      </c>
      <c r="B191" s="166"/>
      <c r="C191" s="166"/>
      <c r="D191" s="166"/>
      <c r="E191" s="27">
        <f>E190+E154-E155</f>
        <v>137314.94999999995</v>
      </c>
    </row>
    <row r="192" spans="1:14">
      <c r="A192" s="104" t="s">
        <v>174</v>
      </c>
    </row>
    <row r="193" spans="1:10" ht="62.25" customHeight="1">
      <c r="A193" s="191" t="s">
        <v>190</v>
      </c>
      <c r="B193" s="191"/>
      <c r="C193" s="191"/>
      <c r="D193" s="191"/>
      <c r="E193" s="191"/>
      <c r="F193" s="191"/>
      <c r="G193" s="191"/>
      <c r="H193" s="191"/>
      <c r="I193" s="191"/>
      <c r="J193" s="191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49">
        <f>ПТО!G12</f>
        <v>1200</v>
      </c>
      <c r="I194" s="50" t="s">
        <v>74</v>
      </c>
    </row>
    <row r="195" spans="1:10" ht="18.75" customHeight="1">
      <c r="A195" s="190" t="str">
        <f>ПТО!F13</f>
        <v xml:space="preserve">  -  техническое освидетельствование лифта</v>
      </c>
      <c r="B195" s="190"/>
      <c r="C195" s="190"/>
      <c r="D195" s="190"/>
      <c r="E195" s="190"/>
      <c r="F195" s="190"/>
      <c r="G195" s="190"/>
      <c r="H195" s="49">
        <f>ПТО!G13</f>
        <v>16200</v>
      </c>
      <c r="I195" s="50" t="s">
        <v>74</v>
      </c>
    </row>
    <row r="196" spans="1:10" ht="18.75" customHeight="1">
      <c r="A196" s="190" t="str">
        <f>ПТО!F14</f>
        <v xml:space="preserve">  -  техническое обслуживание охранной сигнализации</v>
      </c>
      <c r="B196" s="190"/>
      <c r="C196" s="190"/>
      <c r="D196" s="190"/>
      <c r="E196" s="190"/>
      <c r="F196" s="190"/>
      <c r="G196" s="190"/>
      <c r="H196" s="49">
        <f>ПТО!G14</f>
        <v>10800</v>
      </c>
      <c r="I196" s="50" t="s">
        <v>74</v>
      </c>
    </row>
    <row r="197" spans="1:10" ht="18.75" customHeight="1">
      <c r="A197" s="190" t="str">
        <f>ПТО!F15</f>
        <v xml:space="preserve">  -  чистка теплообменников ГВС и отопления</v>
      </c>
      <c r="B197" s="190"/>
      <c r="C197" s="190"/>
      <c r="D197" s="190"/>
      <c r="E197" s="190"/>
      <c r="F197" s="190"/>
      <c r="G197" s="190"/>
      <c r="H197" s="49">
        <f>ПТО!G15</f>
        <v>20000</v>
      </c>
      <c r="I197" s="50" t="s">
        <v>74</v>
      </c>
    </row>
    <row r="198" spans="1:10" ht="18.75" customHeight="1">
      <c r="A198" s="190" t="str">
        <f>ПТО!F16</f>
        <v xml:space="preserve">  -  благоустройство придомовой территории (покраска малых форм, разлиновка парковочных мест)</v>
      </c>
      <c r="B198" s="190"/>
      <c r="C198" s="190"/>
      <c r="D198" s="190"/>
      <c r="E198" s="190"/>
      <c r="F198" s="190"/>
      <c r="G198" s="190"/>
      <c r="H198" s="49">
        <f>ПТО!G16</f>
        <v>10000</v>
      </c>
      <c r="I198" s="52" t="s">
        <v>74</v>
      </c>
    </row>
    <row r="199" spans="1:10" ht="18.75" customHeight="1">
      <c r="A199" s="190" t="str">
        <f>ПТО!F17</f>
        <v xml:space="preserve">  -  непредвиденные затраты на ремонт шлагбаума</v>
      </c>
      <c r="B199" s="190"/>
      <c r="C199" s="190"/>
      <c r="D199" s="190"/>
      <c r="E199" s="190"/>
      <c r="F199" s="190"/>
      <c r="G199" s="190"/>
      <c r="H199" s="49">
        <f>ПТО!G17</f>
        <v>4000</v>
      </c>
      <c r="I199" s="50" t="s">
        <v>74</v>
      </c>
    </row>
    <row r="200" spans="1:10">
      <c r="A200" s="190" t="str">
        <f>ПТО!F18</f>
        <v xml:space="preserve">  -  косметический ремонт 1-го этажа</v>
      </c>
      <c r="B200" s="190"/>
      <c r="C200" s="190"/>
      <c r="D200" s="190"/>
      <c r="E200" s="190"/>
      <c r="F200" s="190"/>
      <c r="G200" s="190"/>
      <c r="H200" s="49">
        <f>ПТО!G18</f>
        <v>10000</v>
      </c>
      <c r="I200" s="50" t="s">
        <v>74</v>
      </c>
    </row>
    <row r="201" spans="1:10">
      <c r="A201" s="190" t="str">
        <f>ПТО!F19</f>
        <v xml:space="preserve">  -  косметический ремонт фасада МКД</v>
      </c>
      <c r="B201" s="190"/>
      <c r="C201" s="190"/>
      <c r="D201" s="190"/>
      <c r="E201" s="190"/>
      <c r="F201" s="190"/>
      <c r="G201" s="190"/>
      <c r="H201" s="49">
        <f>ПТО!G19</f>
        <v>50000</v>
      </c>
      <c r="I201" s="50" t="s">
        <v>74</v>
      </c>
    </row>
    <row r="202" spans="1:10">
      <c r="A202" s="190" t="str">
        <f>ПТО!F20</f>
        <v xml:space="preserve">  -  приобретение цветочных клумб (2 шт.)</v>
      </c>
      <c r="B202" s="190"/>
      <c r="C202" s="190"/>
      <c r="D202" s="190"/>
      <c r="E202" s="190"/>
      <c r="F202" s="190"/>
      <c r="G202" s="190"/>
      <c r="H202" s="49">
        <f>ПТО!G20</f>
        <v>10000</v>
      </c>
      <c r="I202" s="50" t="s">
        <v>74</v>
      </c>
    </row>
    <row r="203" spans="1:10" hidden="1">
      <c r="A203" s="190">
        <f>ПТО!F21</f>
        <v>0</v>
      </c>
      <c r="B203" s="190"/>
      <c r="C203" s="190"/>
      <c r="D203" s="190"/>
      <c r="E203" s="190"/>
      <c r="F203" s="190"/>
      <c r="G203" s="190"/>
      <c r="H203" s="49">
        <f>ПТО!G21</f>
        <v>0</v>
      </c>
      <c r="I203" s="50" t="s">
        <v>74</v>
      </c>
    </row>
    <row r="204" spans="1:10" hidden="1">
      <c r="A204" s="190">
        <f>ПТО!F22</f>
        <v>0</v>
      </c>
      <c r="B204" s="190"/>
      <c r="C204" s="190"/>
      <c r="D204" s="190"/>
      <c r="E204" s="190"/>
      <c r="F204" s="190"/>
      <c r="G204" s="190"/>
      <c r="H204" s="49">
        <f>ПТО!G22</f>
        <v>0</v>
      </c>
      <c r="I204" s="50" t="s">
        <v>74</v>
      </c>
    </row>
    <row r="205" spans="1:10" hidden="1">
      <c r="A205" s="190">
        <f>ПТО!F23</f>
        <v>0</v>
      </c>
      <c r="B205" s="190"/>
      <c r="C205" s="190"/>
      <c r="D205" s="190"/>
      <c r="E205" s="190"/>
      <c r="F205" s="190"/>
      <c r="G205" s="190"/>
      <c r="H205" s="49">
        <f>ПТО!G23</f>
        <v>0</v>
      </c>
      <c r="I205" s="50" t="s">
        <v>74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49">
        <f>ПТО!G24</f>
        <v>0</v>
      </c>
      <c r="I206" s="50" t="s">
        <v>74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49">
        <f>ПТО!G25</f>
        <v>0</v>
      </c>
      <c r="I207" s="50" t="s">
        <v>74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49">
        <f>ПТО!G26</f>
        <v>0</v>
      </c>
      <c r="I208" s="50" t="s">
        <v>74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49">
        <f>ПТО!G27</f>
        <v>0</v>
      </c>
      <c r="I209" s="50" t="s">
        <v>74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49">
        <f>ПТО!G28</f>
        <v>0</v>
      </c>
      <c r="I210" s="50" t="s">
        <v>74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49">
        <f>ПТО!G29</f>
        <v>0</v>
      </c>
      <c r="I211" s="50" t="s">
        <v>74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49">
        <f>ПТО!G30</f>
        <v>0</v>
      </c>
      <c r="I212" s="50" t="s">
        <v>74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132200</v>
      </c>
      <c r="I214" s="56" t="s">
        <v>77</v>
      </c>
    </row>
  </sheetData>
  <sheetProtection algorithmName="SHA-512" hashValue="lQyMH7KgA/PlFLJni3OiXxN51f6VO/2bMnTIt3loN5IvBYEnM3kCgQm8ANHROvNJb/f6unn2re0Fq6/Phcoi4g==" saltValue="T8TSXcVS4pOlGeI7XZMry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6" workbookViewId="0">
      <selection activeCell="F23" sqref="F2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63554.97</f>
        <v>63554.97</v>
      </c>
    </row>
    <row r="2" spans="1:12" ht="18.75" customHeight="1">
      <c r="A2" s="146" t="s">
        <v>182</v>
      </c>
      <c r="B2" s="147" t="s">
        <v>183</v>
      </c>
      <c r="C2" s="119">
        <v>12</v>
      </c>
      <c r="D2" s="118">
        <f>900*12</f>
        <v>10800</v>
      </c>
      <c r="E2" s="148" t="s">
        <v>219</v>
      </c>
      <c r="F2" s="30"/>
      <c r="G2" s="32"/>
      <c r="L2" s="33" t="str">
        <f>IF(A2&gt;0,"ТР",0)</f>
        <v>ТР</v>
      </c>
    </row>
    <row r="3" spans="1:12" ht="18.75" customHeight="1">
      <c r="A3" s="138" t="s">
        <v>216</v>
      </c>
      <c r="B3" s="139" t="s">
        <v>217</v>
      </c>
      <c r="C3" s="140">
        <v>1</v>
      </c>
      <c r="D3" s="141">
        <v>16200</v>
      </c>
      <c r="E3" s="142" t="s">
        <v>218</v>
      </c>
      <c r="F3" s="30"/>
      <c r="G3" s="30"/>
      <c r="L3" s="33" t="str">
        <f>IF(A3&gt;0,"ТР",0)</f>
        <v>ТР</v>
      </c>
    </row>
    <row r="4" spans="1:12" ht="18.75" customHeight="1">
      <c r="A4" s="138" t="s">
        <v>196</v>
      </c>
      <c r="B4" s="139" t="s">
        <v>178</v>
      </c>
      <c r="C4" s="140">
        <v>1</v>
      </c>
      <c r="D4" s="141">
        <v>250</v>
      </c>
      <c r="E4" s="142" t="s">
        <v>206</v>
      </c>
      <c r="F4" s="44"/>
      <c r="G4" s="30"/>
      <c r="L4" s="33" t="str">
        <f>IF(A4&gt;0,"ТР",0)</f>
        <v>ТР</v>
      </c>
    </row>
    <row r="5" spans="1:12" ht="18.75" customHeight="1">
      <c r="A5" s="152" t="s">
        <v>198</v>
      </c>
      <c r="B5" s="153" t="s">
        <v>178</v>
      </c>
      <c r="C5" s="134">
        <v>1</v>
      </c>
      <c r="D5" s="43">
        <v>17946.55</v>
      </c>
      <c r="E5" s="148" t="s">
        <v>220</v>
      </c>
      <c r="F5" s="44"/>
      <c r="G5" s="44"/>
      <c r="K5" s="46"/>
      <c r="L5" s="33" t="str">
        <f>IF(A5&gt;0,"ТР",0)</f>
        <v>ТР</v>
      </c>
    </row>
    <row r="6" spans="1:12" ht="18.75" customHeight="1">
      <c r="A6" s="124" t="s">
        <v>195</v>
      </c>
      <c r="B6" s="125" t="s">
        <v>178</v>
      </c>
      <c r="C6" s="119">
        <v>1</v>
      </c>
      <c r="D6" s="118">
        <v>20060.5</v>
      </c>
      <c r="E6" s="126" t="s">
        <v>199</v>
      </c>
      <c r="F6" s="44"/>
      <c r="G6" s="44"/>
      <c r="K6" s="46"/>
      <c r="L6" s="33" t="str">
        <f>IF(A6&gt;0,"ТР",0)</f>
        <v>ТР</v>
      </c>
    </row>
    <row r="7" spans="1:12" ht="18.75" customHeight="1">
      <c r="A7" s="149" t="s">
        <v>211</v>
      </c>
      <c r="B7" s="150" t="s">
        <v>178</v>
      </c>
      <c r="C7" s="134">
        <v>1</v>
      </c>
      <c r="D7" s="151">
        <v>5500</v>
      </c>
      <c r="E7" s="148" t="s">
        <v>221</v>
      </c>
      <c r="F7" s="45"/>
      <c r="G7" s="45"/>
      <c r="K7" s="46"/>
      <c r="L7" s="33" t="str">
        <f t="shared" ref="L7:L22" si="0">IF(A7&gt;0,"ТР",0)</f>
        <v>ТР</v>
      </c>
    </row>
    <row r="8" spans="1:12" ht="18.75" customHeight="1">
      <c r="A8" s="127" t="s">
        <v>197</v>
      </c>
      <c r="B8" s="128" t="s">
        <v>178</v>
      </c>
      <c r="C8" s="129">
        <v>1</v>
      </c>
      <c r="D8" s="130">
        <f>16343.42/2</f>
        <v>8171.71</v>
      </c>
      <c r="E8" s="131" t="s">
        <v>200</v>
      </c>
      <c r="F8" s="45"/>
      <c r="G8" s="45"/>
      <c r="K8" s="43"/>
      <c r="L8" s="33" t="str">
        <f t="shared" si="0"/>
        <v>ТР</v>
      </c>
    </row>
    <row r="9" spans="1:12">
      <c r="A9" s="124" t="s">
        <v>194</v>
      </c>
      <c r="B9" s="132" t="s">
        <v>178</v>
      </c>
      <c r="C9" s="119">
        <v>1</v>
      </c>
      <c r="D9" s="118">
        <v>6825</v>
      </c>
      <c r="E9" s="131" t="s">
        <v>201</v>
      </c>
      <c r="F9" s="44"/>
      <c r="G9" s="44"/>
      <c r="K9" s="43"/>
      <c r="L9" s="33" t="str">
        <f t="shared" si="0"/>
        <v>ТР</v>
      </c>
    </row>
    <row r="10" spans="1:12">
      <c r="A10" s="137" t="s">
        <v>205</v>
      </c>
      <c r="B10" s="125" t="s">
        <v>178</v>
      </c>
      <c r="C10" s="119">
        <v>1</v>
      </c>
      <c r="D10" s="118">
        <v>8000</v>
      </c>
      <c r="E10" s="131" t="s">
        <v>202</v>
      </c>
      <c r="L10" s="33" t="str">
        <f t="shared" si="0"/>
        <v>ТР</v>
      </c>
    </row>
    <row r="11" spans="1:12" ht="94.5">
      <c r="A11" s="136" t="s">
        <v>203</v>
      </c>
      <c r="B11" s="133" t="s">
        <v>178</v>
      </c>
      <c r="C11" s="134">
        <v>1</v>
      </c>
      <c r="D11" s="43">
        <v>7639.22</v>
      </c>
      <c r="E11" s="135" t="s">
        <v>204</v>
      </c>
      <c r="F11" s="111" t="s">
        <v>190</v>
      </c>
      <c r="G11" s="111"/>
      <c r="L11" s="33" t="str">
        <f t="shared" si="0"/>
        <v>ТР</v>
      </c>
    </row>
    <row r="12" spans="1:12" ht="31.5">
      <c r="A12" s="144" t="s">
        <v>212</v>
      </c>
      <c r="B12" s="143" t="s">
        <v>178</v>
      </c>
      <c r="C12" s="134">
        <v>1</v>
      </c>
      <c r="D12" s="118">
        <v>750</v>
      </c>
      <c r="E12" s="145" t="s">
        <v>213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9" t="s">
        <v>214</v>
      </c>
      <c r="B13" s="160" t="s">
        <v>178</v>
      </c>
      <c r="C13" s="134">
        <v>1</v>
      </c>
      <c r="D13" s="151">
        <v>750</v>
      </c>
      <c r="E13" s="161" t="s">
        <v>227</v>
      </c>
      <c r="F13" s="112" t="s">
        <v>75</v>
      </c>
      <c r="G13" s="113">
        <v>16200</v>
      </c>
      <c r="L13" s="33" t="str">
        <f t="shared" si="0"/>
        <v>ТР</v>
      </c>
    </row>
    <row r="14" spans="1:12" ht="31.5">
      <c r="A14" s="154" t="s">
        <v>208</v>
      </c>
      <c r="B14" s="155" t="s">
        <v>178</v>
      </c>
      <c r="C14" s="134">
        <v>1</v>
      </c>
      <c r="D14" s="151">
        <v>18635</v>
      </c>
      <c r="E14" s="148" t="s">
        <v>222</v>
      </c>
      <c r="F14" s="112" t="s">
        <v>184</v>
      </c>
      <c r="G14" s="113">
        <v>10800</v>
      </c>
      <c r="L14" s="33" t="str">
        <f t="shared" si="0"/>
        <v>ТР</v>
      </c>
    </row>
    <row r="15" spans="1:12" ht="31.5">
      <c r="A15" s="154" t="s">
        <v>209</v>
      </c>
      <c r="B15" s="155" t="s">
        <v>178</v>
      </c>
      <c r="C15" s="134">
        <v>1</v>
      </c>
      <c r="D15" s="151">
        <v>3200</v>
      </c>
      <c r="E15" s="148" t="s">
        <v>223</v>
      </c>
      <c r="F15" s="112" t="s">
        <v>187</v>
      </c>
      <c r="G15" s="113">
        <v>20000</v>
      </c>
      <c r="L15" s="33" t="str">
        <f t="shared" si="0"/>
        <v>ТР</v>
      </c>
    </row>
    <row r="16" spans="1:12" ht="47.25">
      <c r="A16" s="154" t="s">
        <v>210</v>
      </c>
      <c r="B16" s="155" t="s">
        <v>178</v>
      </c>
      <c r="C16" s="134">
        <v>1</v>
      </c>
      <c r="D16" s="151">
        <v>6000</v>
      </c>
      <c r="E16" s="148" t="s">
        <v>224</v>
      </c>
      <c r="F16" s="112" t="s">
        <v>188</v>
      </c>
      <c r="G16" s="114">
        <v>10000</v>
      </c>
      <c r="L16" s="33" t="str">
        <f t="shared" si="0"/>
        <v>ТР</v>
      </c>
    </row>
    <row r="17" spans="1:12" ht="31.5">
      <c r="A17" s="156" t="s">
        <v>225</v>
      </c>
      <c r="B17" s="157" t="s">
        <v>178</v>
      </c>
      <c r="C17" s="134">
        <v>1</v>
      </c>
      <c r="D17" s="151">
        <v>2250</v>
      </c>
      <c r="E17" s="148" t="s">
        <v>226</v>
      </c>
      <c r="F17" s="112" t="s">
        <v>186</v>
      </c>
      <c r="G17" s="113">
        <v>4000</v>
      </c>
      <c r="L17" s="33" t="str">
        <f t="shared" si="0"/>
        <v>ТР</v>
      </c>
    </row>
    <row r="18" spans="1:12" ht="15.75">
      <c r="A18" s="158" t="s">
        <v>207</v>
      </c>
      <c r="B18" s="143" t="s">
        <v>178</v>
      </c>
      <c r="C18" s="134">
        <v>1</v>
      </c>
      <c r="D18" s="118">
        <v>178346</v>
      </c>
      <c r="E18" s="148" t="s">
        <v>215</v>
      </c>
      <c r="F18" s="122" t="s">
        <v>228</v>
      </c>
      <c r="G18" s="123">
        <v>10000</v>
      </c>
      <c r="L18" s="33" t="str">
        <f t="shared" si="0"/>
        <v>ТР</v>
      </c>
    </row>
    <row r="19" spans="1:12" ht="15.75">
      <c r="A19" s="30"/>
      <c r="F19" s="112" t="s">
        <v>229</v>
      </c>
      <c r="G19" s="162">
        <v>50000</v>
      </c>
      <c r="L19" s="33">
        <f t="shared" si="0"/>
        <v>0</v>
      </c>
    </row>
    <row r="20" spans="1:12" ht="31.5">
      <c r="A20" s="30"/>
      <c r="F20" s="112" t="s">
        <v>230</v>
      </c>
      <c r="G20" s="162">
        <v>10000</v>
      </c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95065.18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95065.18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49888.44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49888.44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56817.39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56817.39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32704.63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32704.63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13857.9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13857.9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56817.39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56817.39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29101.59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29101.59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xhION0Nq2FJ+2AaKVb7IIMXgOKZ75BNsCpnuERis5dhwBlIA5zWzNzyFihPi6S/gOm0Qc/W+ghu8NjKMIcGreg==" saltValue="58gBnIE/ipLD0uS3B2CNG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6" sqref="F1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120" t="s">
        <v>179</v>
      </c>
      <c r="F1" s="120">
        <v>3959.4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1" t="s">
        <v>180</v>
      </c>
      <c r="F2" s="121" t="s">
        <v>181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551205.97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1058158.8799999999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580092.34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237564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240502.54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970906.51000000036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970906.51000000036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970906.51000000036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638458.3399999995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4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4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4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4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3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3"/>
      <c r="N26" s="63"/>
    </row>
    <row r="27" spans="1:15" ht="18.75" customHeight="1">
      <c r="A27" s="70" t="s">
        <v>105</v>
      </c>
      <c r="B27" s="75" t="s">
        <v>4</v>
      </c>
      <c r="C27" s="86">
        <v>48397.71</v>
      </c>
      <c r="D27" s="81" t="s">
        <v>60</v>
      </c>
      <c r="E27" s="64"/>
      <c r="F27" s="64"/>
      <c r="G27" s="64"/>
      <c r="H27" s="64"/>
      <c r="I27" s="64"/>
      <c r="J27" s="64"/>
      <c r="M27" s="193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3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3"/>
      <c r="N29" s="63"/>
    </row>
    <row r="30" spans="1:15" ht="18.75" customHeight="1">
      <c r="A30" s="70" t="s">
        <v>108</v>
      </c>
      <c r="B30" s="75" t="s">
        <v>18</v>
      </c>
      <c r="C30" s="86">
        <v>67153.790000000095</v>
      </c>
      <c r="D30" s="81" t="s">
        <v>66</v>
      </c>
      <c r="E30" s="64"/>
      <c r="F30" s="64"/>
      <c r="G30" s="64"/>
      <c r="H30" s="64"/>
      <c r="I30" s="64"/>
      <c r="J30" s="64"/>
      <c r="M30" s="193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3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3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3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3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56420.04</v>
      </c>
      <c r="F37" s="94" t="s">
        <v>167</v>
      </c>
      <c r="G37" s="66"/>
      <c r="H37" s="66"/>
      <c r="I37" s="66"/>
      <c r="L37" s="63"/>
      <c r="M37" s="192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49491.26</v>
      </c>
      <c r="D38" s="94" t="s">
        <v>165</v>
      </c>
      <c r="E38" s="68"/>
      <c r="G38" s="67"/>
      <c r="H38" s="67"/>
      <c r="L38" s="63"/>
      <c r="M38" s="192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51287.780000000006</v>
      </c>
      <c r="D39" s="94" t="s">
        <v>166</v>
      </c>
      <c r="E39" s="68"/>
      <c r="G39" s="67"/>
      <c r="H39" s="67"/>
      <c r="L39" s="63"/>
      <c r="M39" s="192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5132.2599999999948</v>
      </c>
      <c r="D40" s="80" t="s">
        <v>59</v>
      </c>
      <c r="E40" s="68"/>
      <c r="G40" s="67"/>
      <c r="H40" s="67"/>
      <c r="L40" s="63"/>
      <c r="M40" s="192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56420.04</v>
      </c>
      <c r="D41" s="80" t="s">
        <v>59</v>
      </c>
      <c r="E41" s="68"/>
      <c r="G41" s="67"/>
      <c r="H41" s="67"/>
      <c r="L41" s="63"/>
      <c r="M41" s="192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56420.04</v>
      </c>
      <c r="D42" s="80" t="s">
        <v>59</v>
      </c>
      <c r="E42" s="68"/>
      <c r="G42" s="67"/>
      <c r="H42" s="67"/>
      <c r="L42" s="63"/>
      <c r="M42" s="192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2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2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9448.2000000000025</v>
      </c>
      <c r="F45" s="94" t="s">
        <v>167</v>
      </c>
      <c r="G45" s="66"/>
      <c r="H45" s="66"/>
      <c r="L45" s="63"/>
      <c r="M45" s="192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698.31485587583165</v>
      </c>
      <c r="D46" s="94" t="s">
        <v>168</v>
      </c>
      <c r="E46" s="68"/>
      <c r="G46" s="67"/>
      <c r="H46" s="67"/>
      <c r="L46" s="63"/>
      <c r="M46" s="192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10007.039999999999</v>
      </c>
      <c r="D47" s="94" t="s">
        <v>166</v>
      </c>
      <c r="E47" s="68"/>
      <c r="G47" s="67"/>
      <c r="H47" s="67"/>
      <c r="L47" s="63"/>
      <c r="M47" s="192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2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9448.2000000000025</v>
      </c>
      <c r="D49" s="80" t="s">
        <v>59</v>
      </c>
      <c r="E49" s="68"/>
      <c r="G49" s="67"/>
      <c r="H49" s="67"/>
      <c r="L49" s="63"/>
      <c r="M49" s="192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9448.2000000000025</v>
      </c>
      <c r="D50" s="80" t="s">
        <v>59</v>
      </c>
      <c r="E50" s="68"/>
      <c r="G50" s="67"/>
      <c r="H50" s="67"/>
      <c r="L50" s="63"/>
      <c r="M50" s="192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2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2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11205.84</v>
      </c>
      <c r="F53" s="94" t="s">
        <v>167</v>
      </c>
      <c r="G53" s="66"/>
      <c r="H53" s="66"/>
      <c r="L53" s="63"/>
      <c r="M53" s="192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726.24</v>
      </c>
      <c r="D54" s="94" t="s">
        <v>168</v>
      </c>
      <c r="E54" s="69"/>
      <c r="F54" s="89"/>
      <c r="G54" s="64"/>
      <c r="H54" s="64"/>
      <c r="L54" s="63"/>
      <c r="M54" s="192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12082.37</v>
      </c>
      <c r="D55" s="94" t="s">
        <v>166</v>
      </c>
      <c r="E55" s="69"/>
      <c r="G55" s="64"/>
      <c r="H55" s="64"/>
      <c r="L55" s="63"/>
      <c r="M55" s="192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2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11205.84</v>
      </c>
      <c r="D57" s="80" t="s">
        <v>59</v>
      </c>
      <c r="E57" s="69"/>
      <c r="G57" s="64"/>
      <c r="H57" s="64"/>
      <c r="L57" s="63"/>
      <c r="M57" s="192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11205.84</v>
      </c>
      <c r="D58" s="80" t="s">
        <v>59</v>
      </c>
      <c r="E58" s="69"/>
      <c r="G58" s="64"/>
      <c r="H58" s="64"/>
      <c r="L58" s="63"/>
      <c r="M58" s="192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2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2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178974.7300000001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315.7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163915.53999999995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15059.190000000148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178974.7300000001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178974.7300000001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2021-03-23T08:03:14Z</dcterms:modified>
</cp:coreProperties>
</file>