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11" i="2" l="1"/>
  <c r="G1" i="2" l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G94" i="1"/>
  <c r="K94" i="1"/>
  <c r="A116" i="1" l="1"/>
  <c r="A111" i="1"/>
  <c r="A100" i="1"/>
  <c r="A119" i="1"/>
  <c r="A113" i="1"/>
  <c r="A122" i="1"/>
  <c r="F110" i="1"/>
  <c r="A117" i="1"/>
  <c r="A118" i="1"/>
  <c r="A123" i="1"/>
  <c r="A141" i="1"/>
  <c r="A95" i="1"/>
  <c r="F134" i="1"/>
  <c r="A94" i="1"/>
  <c r="A96" i="1"/>
  <c r="D118" i="1"/>
  <c r="A120" i="1"/>
  <c r="A124" i="1"/>
  <c r="D94" i="1"/>
  <c r="A99" i="1"/>
  <c r="F118" i="1"/>
  <c r="A121" i="1"/>
  <c r="A137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6" i="1"/>
  <c r="A186" i="1" s="1"/>
  <c r="I186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F177" i="1"/>
  <c r="F167" i="1"/>
  <c r="F168" i="1"/>
  <c r="F182" i="1"/>
  <c r="F181" i="1"/>
  <c r="F170" i="1"/>
  <c r="H176" i="1"/>
  <c r="H173" i="1"/>
  <c r="H166" i="1"/>
  <c r="H184" i="1"/>
  <c r="F178" i="1"/>
  <c r="H172" i="1"/>
  <c r="F172" i="1"/>
  <c r="H170" i="1"/>
  <c r="F176" i="1"/>
  <c r="F184" i="1"/>
  <c r="F180" i="1"/>
  <c r="F185" i="1"/>
  <c r="F186" i="1"/>
  <c r="H187" i="1"/>
  <c r="F175" i="1"/>
  <c r="H180" i="1"/>
  <c r="H168" i="1"/>
  <c r="F173" i="1"/>
  <c r="H185" i="1"/>
  <c r="H181" i="1"/>
  <c r="F166" i="1"/>
  <c r="H174" i="1"/>
  <c r="F187" i="1"/>
  <c r="H182" i="1"/>
  <c r="H178" i="1"/>
  <c r="F174" i="1"/>
  <c r="H175" i="1"/>
  <c r="H186" i="1"/>
  <c r="F165" i="1"/>
  <c r="H167" i="1"/>
  <c r="F179" i="1"/>
  <c r="H164" i="1"/>
  <c r="H165" i="1"/>
  <c r="F164" i="1"/>
  <c r="H177" i="1"/>
  <c r="H179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<sst xmlns="http://schemas.openxmlformats.org/spreadsheetml/2006/main" count="589" uniqueCount="230">
  <si>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</si>
  <si>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</si>
  <si>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</si>
  <si>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</si>
  <si>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</si>
  <si>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</si>
  <si>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</si>
  <si>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</si>
  <si>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</si>
  <si>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</si>
  <si>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</si>
  <si>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</si>
  <si>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</si>
  <si>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</si>
  <si>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</si>
  <si>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</si>
  <si>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</si>
  <si>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</si>
  <si>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</si>
  <si>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</si>
  <si>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</si>
  <si>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</si>
  <si>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</si>
  <si>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</si>
  <si>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</si>
  <si>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</si>
  <si>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</si>
  <si>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</si>
  <si>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</si>
  <si>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</si>
  <si>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</si>
  <si>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</si>
  <si>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</si>
  <si>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</si>
  <si>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</si>
  <si>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</si>
  <si>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</si>
  <si>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</si>
  <si>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</si>
  <si>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</si>
  <si>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</si>
  <si>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</si>
  <si>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</si>
  <si>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</si>
  <si>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</si>
  <si>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</si>
  <si>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</si>
  <si>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</si>
  <si>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</si>
  <si>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</si>
  <si>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</si>
  <si>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</si>
  <si>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</si>
  <si>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</si>
  <si>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</si>
  <si>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</si>
  <si>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</si>
  <si>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</si>
  <si>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</si>
  <si>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</si>
  <si>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</si>
  <si>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</si>
  <si>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</si>
  <si>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</si>
  <si>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</si>
  <si>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</si>
  <si>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</si>
  <si>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</si>
  <si>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</si>
  <si>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</si>
  <si>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</si>
  <si>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</si>
  <si>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</si>
  <si>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</si>
  <si>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</si>
  <si>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</si>
  <si>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</si>
  <si>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</si>
  <si>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</si>
  <si>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</si>
  <si>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</si>
  <si>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</si>
  <si>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</si>
  <si>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</si>
  <si>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</si>
  <si>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</si>
  <si>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</si>
  <si>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</si>
  <si>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</si>
  <si>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</si>
  <si>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</si>
  <si>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</si>
  <si>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</si>
  <si>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</si>
  <si>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</si>
  <si>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</si>
  <si>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</si>
  <si>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</si>
  <si>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</si>
  <si>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</si>
  <si>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</si>
  <si>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</si>
  <si>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</si>
  <si>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</si>
  <si>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</si>
  <si>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</si>
  <si>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</si>
  <si>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</si>
  <si>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</si>
  <si>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</si>
  <si>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</si>
  <si>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</si>
  <si>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</si>
  <si>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</si>
  <si>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</si>
  <si>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</si>
  <si>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</si>
  <si>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</si>
  <si>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</si>
  <si>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</si>
  <si>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</si>
  <si>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</si>
  <si>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</si>
  <si>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</si>
  <si>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</si>
  <si>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</si>
  <si>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</si>
  <si>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</si>
  <si>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</si>
  <si>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</si>
  <si>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</si>
  <si>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</si>
  <si>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</si>
  <si>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</si>
  <si>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</si>
  <si>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</si>
  <si>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</si>
  <si>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</si>
  <si>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</si>
  <si>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</si>
  <si>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</si>
  <si>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</si>
  <si>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</si>
  <si>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</si>
  <si>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</si>
  <si>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</si>
  <si>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</si>
  <si>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</si>
  <si>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</si>
  <si>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</si>
  <si>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</si>
  <si>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</si>
  <si>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</si>
  <si>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</si>
  <si>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</si>
  <si>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</si>
  <si>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</si>
  <si>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</si>
  <si>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</si>
  <si>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</si>
  <si>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</si>
  <si>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</si>
  <si>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</si>
  <si>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</si>
  <si>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</si>
  <si>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</si>
  <si>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</si>
  <si>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</si>
  <si>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</si>
  <si>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</si>
  <si>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</si>
  <si>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</si>
  <si>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</si>
  <si>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</si>
  <si>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</si>
  <si>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</si>
  <si>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</si>
  <si>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319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</si>
  <si>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</si>
  <si>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</si>
  <si>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</si>
  <si>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</si>
  <si>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разово</t>
  </si>
  <si>
    <t xml:space="preserve">площадь дома </t>
  </si>
  <si>
    <t>с 01.03.2018 приказ №8 от 19.03.2018, протокол №1 от 26.06.2016</t>
  </si>
  <si>
    <t xml:space="preserve">  -  техническое освидетельствование лифтов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</si>
  <si>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</si>
  <si>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</si>
  <si>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</si>
  <si>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побелка подвального помещения</t>
  </si>
  <si>
    <t xml:space="preserve">  - 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</si>
  <si>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</si>
  <si>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319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</si>
  <si>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</si>
  <si>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</si>
  <si>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</si>
  <si>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</si>
  <si>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</si>
  <si>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Ремонт блока бесперебойного питания системы видеонаблюдения.</t>
  </si>
  <si>
    <t>АВР 2/20 от 30.01.2020</t>
  </si>
  <si>
    <t>Замена блока бесперебойного питания пожарной сигнализации.</t>
  </si>
  <si>
    <t>АВР 3/20 от 19.01.2020, акт, счет №3 от 15.01.2020</t>
  </si>
  <si>
    <t>Ремонтно-восстановительные работы системы пожарной сигнализации.</t>
  </si>
  <si>
    <t>Замена камеры системы видеонаблюдения (бол.лифт).</t>
  </si>
  <si>
    <t>Приобретение и установка таблички по пожарной безопасности.</t>
  </si>
  <si>
    <t>Приобретение новогодней гирлянды.</t>
  </si>
  <si>
    <t>АВР 5/20 от 23.04.2020, Решение, счет №10805а от 10.03.2020</t>
  </si>
  <si>
    <t>АВР 6/20 от 24.03.2020, счет от 12.03.2020</t>
  </si>
  <si>
    <t>Ремонт прибора учета тепловой энергии.</t>
  </si>
  <si>
    <t>АВР 4/20 от 10.02.2020, Решение, счет №6 от 23.01.2020</t>
  </si>
  <si>
    <t>АВР 1/20 от 17.01.2020, счет №In/O-0180172 от 27.11.2019</t>
  </si>
  <si>
    <t>Благоустройство придомовой территории (приобретение чернозема).</t>
  </si>
  <si>
    <t>АВР 7/20 от 03.06.2020, Решение</t>
  </si>
  <si>
    <t>АВР 8/20 от 15.06.2020, счет №113 от 22.04.2020</t>
  </si>
  <si>
    <t>Ремонт и укладка плитки на крыльцо.</t>
  </si>
  <si>
    <t>Ремонт балкона (1 этаж).</t>
  </si>
  <si>
    <t>Испытание ограждений кровли крыши.</t>
  </si>
  <si>
    <t>АВР 9/20 от 27.08.2020, Решение, счет №68 от 25.02.2020</t>
  </si>
  <si>
    <t>АВР 11/20 от 05.09.2020, Решение, счет от 02.07.2020</t>
  </si>
  <si>
    <t>АВР 10/20 от 20.10.2020, Решение, счет от 02.07.2020</t>
  </si>
  <si>
    <t>Испытание пожарных кранов и перекатка пожарных рукавов.</t>
  </si>
  <si>
    <t>АВР 12/20 от 29.12.2020, счет №1737 от 03.08.2020</t>
  </si>
  <si>
    <t>АВР 13/20 от 29.12.2020, счет №1740 от 03.08.2020</t>
  </si>
  <si>
    <t>АВР 14/20 от 29.12.2020, счет №1749 от 03.08.2020</t>
  </si>
  <si>
    <t>АВР 15/20 от 29.12.2020</t>
  </si>
  <si>
    <t>АВР 16/20 от 29.12.2020</t>
  </si>
  <si>
    <t>Изготовление и монтаж тамбурной двери.</t>
  </si>
  <si>
    <t xml:space="preserve">  -  косметический ремонт подъезда и лестничного марша</t>
  </si>
  <si>
    <t>Приобретение и установка пожарных рукавов и стволов (16 шт.)</t>
  </si>
  <si>
    <t xml:space="preserve">  -  монтаж уличных светодиодных светильников за домами 1-ой  очереди 3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</si>
</sst>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8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17" fillId="0" borderId="0" xfId="5" applyFill="1" applyBorder="1" applyAlignment="1">
      <alignment horizontal="center"/>
    </xf>
    <xf numFmtId="0" fontId="31" fillId="0" borderId="0" xfId="5" applyFont="1" applyFill="1" applyBorder="1" applyAlignment="1">
      <alignment horizontal="center"/>
    </xf>
    <xf numFmtId="4" fontId="31" fillId="0" borderId="0" xfId="5" applyNumberFormat="1" applyFont="1" applyFill="1" applyBorder="1" applyAlignment="1"/>
    <xf numFmtId="0" fontId="17" fillId="0" borderId="0" xfId="5" applyFill="1" applyBorder="1" applyAlignment="1"/>
    <xf numFmtId="0" fontId="41" fillId="0" borderId="0" xfId="5" applyFont="1" applyFill="1" applyBorder="1" applyAlignment="1">
      <alignment wrapText="1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0" fillId="0" borderId="0" xfId="0" applyFill="1"/>
    <xf numFmtId="4" fontId="31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6" fillId="0" borderId="0" xfId="6" applyFill="1" applyBorder="1" applyAlignment="1">
      <alignment horizontal="center"/>
    </xf>
    <xf numFmtId="0" fontId="31" fillId="0" borderId="0" xfId="6" applyFont="1" applyFill="1" applyBorder="1" applyAlignment="1">
      <alignment horizontal="center"/>
    </xf>
    <xf numFmtId="4" fontId="31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1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4" fillId="0" borderId="0" xfId="5" applyFont="1" applyFill="1" applyBorder="1" applyAlignment="1"/>
    <xf numFmtId="0" fontId="24" fillId="0" borderId="0" xfId="0" applyFont="1" applyBorder="1" applyAlignment="1">
      <alignment wrapText="1"/>
    </xf>
    <xf numFmtId="4" fontId="23" fillId="0" borderId="0" xfId="0" applyNumberFormat="1" applyFont="1" applyBorder="1"/>
    <xf numFmtId="0" fontId="14" fillId="0" borderId="0" xfId="2" applyFont="1" applyFill="1" applyBorder="1" applyAlignment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9" fillId="0" borderId="0" xfId="6" applyFont="1" applyFill="1" applyBorder="1" applyAlignment="1">
      <alignment horizontal="center"/>
    </xf>
    <xf numFmtId="4" fontId="16" fillId="0" borderId="0" xfId="6" applyNumberFormat="1" applyFill="1" applyBorder="1" applyAlignment="1"/>
    <xf numFmtId="0" fontId="0" fillId="0" borderId="0" xfId="0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1" fillId="0" borderId="0" xfId="5" applyFont="1" applyFill="1" applyBorder="1" applyAlignment="1"/>
    <xf numFmtId="0" fontId="11" fillId="0" borderId="0" xfId="6" applyFont="1" applyFill="1" applyBorder="1" applyAlignment="1">
      <alignment horizontal="center"/>
    </xf>
    <xf numFmtId="0" fontId="10" fillId="0" borderId="0" xfId="7" applyFont="1" applyFill="1" applyBorder="1" applyAlignment="1">
      <alignment wrapText="1"/>
    </xf>
    <xf numFmtId="0" fontId="10" fillId="0" borderId="0" xfId="7" applyFont="1" applyFill="1" applyBorder="1" applyAlignment="1">
      <alignment horizontal="center"/>
    </xf>
    <xf numFmtId="1" fontId="10" fillId="0" borderId="0" xfId="7" applyNumberFormat="1" applyFill="1" applyBorder="1" applyAlignment="1">
      <alignment horizontal="center"/>
    </xf>
    <xf numFmtId="4" fontId="31" fillId="0" borderId="0" xfId="7" applyNumberFormat="1" applyFont="1" applyFill="1" applyBorder="1" applyAlignment="1"/>
    <xf numFmtId="0" fontId="7" fillId="0" borderId="0" xfId="8" applyFont="1" applyFill="1"/>
    <xf numFmtId="0" fontId="6" fillId="0" borderId="0" xfId="15" applyFill="1" applyBorder="1" applyAlignment="1">
      <alignment horizontal="center"/>
    </xf>
    <xf numFmtId="4" fontId="31" fillId="0" borderId="0" xfId="15" applyNumberFormat="1" applyFont="1" applyFill="1" applyBorder="1" applyAlignment="1"/>
    <xf numFmtId="0" fontId="0" fillId="0" borderId="0" xfId="0" applyFill="1"/>
    <xf numFmtId="0" fontId="6" fillId="0" borderId="0" xfId="15" applyFont="1" applyFill="1" applyBorder="1" applyAlignment="1">
      <alignment horizontal="center"/>
    </xf>
    <xf numFmtId="0" fontId="6" fillId="0" borderId="0" xfId="15" applyFont="1" applyFill="1" applyBorder="1" applyAlignment="1"/>
    <xf numFmtId="0" fontId="41" fillId="0" borderId="0" xfId="9" applyFont="1" applyFill="1" applyBorder="1" applyAlignment="1">
      <alignment wrapText="1"/>
    </xf>
    <xf numFmtId="0" fontId="8" fillId="0" borderId="0" xfId="10" applyFont="1" applyFill="1" applyBorder="1" applyAlignment="1">
      <alignment horizontal="center"/>
    </xf>
    <xf numFmtId="0" fontId="8" fillId="0" borderId="0" xfId="10" applyFill="1" applyBorder="1" applyAlignment="1">
      <alignment horizontal="center"/>
    </xf>
    <xf numFmtId="4" fontId="31" fillId="0" borderId="0" xfId="10" applyNumberFormat="1" applyFont="1" applyFill="1" applyBorder="1" applyAlignment="1"/>
    <xf numFmtId="0" fontId="12" fillId="0" borderId="0" xfId="5" applyFont="1" applyFill="1" applyBorder="1" applyAlignment="1"/>
    <xf numFmtId="0" fontId="12" fillId="0" borderId="0" xfId="6" applyFont="1" applyFill="1" applyBorder="1" applyAlignment="1">
      <alignment horizontal="center"/>
    </xf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41" fillId="0" borderId="0" xfId="21" applyFont="1" applyFill="1" applyBorder="1" applyAlignment="1"/>
    <xf numFmtId="0" fontId="2" fillId="0" borderId="0" xfId="22" applyFont="1" applyFill="1" applyBorder="1" applyAlignment="1">
      <alignment horizontal="center"/>
    </xf>
    <xf numFmtId="0" fontId="2" fillId="0" borderId="0" xfId="22" applyFill="1" applyBorder="1" applyAlignment="1">
      <alignment horizontal="center"/>
    </xf>
    <xf numFmtId="4" fontId="2" fillId="0" borderId="0" xfId="22" applyNumberFormat="1" applyFill="1" applyBorder="1" applyAlignment="1"/>
    <xf numFmtId="4" fontId="31" fillId="0" borderId="0" xfId="22" applyNumberFormat="1" applyFont="1" applyFill="1" applyBorder="1" applyAlignment="1"/>
    <xf numFmtId="0" fontId="1" fillId="0" borderId="0" xfId="5" applyFont="1" applyFill="1" applyBorder="1" applyAlignment="1"/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25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4"/>
    <cellStyle name="Обычный 2 4" xfId="11"/>
    <cellStyle name="Обычный 2 5" xfId="18"/>
    <cellStyle name="Обычный 3" xfId="2"/>
    <cellStyle name="Обычный 3 2" xfId="12"/>
    <cellStyle name="Обычный 3 3" xfId="19"/>
    <cellStyle name="Обычный 4" xfId="4"/>
    <cellStyle name="Обычный 4 2" xfId="6"/>
    <cellStyle name="Обычный 4 2 2" xfId="10"/>
    <cellStyle name="Обычный 4 2 3" xfId="15"/>
    <cellStyle name="Обычный 4 2 4" xfId="22"/>
    <cellStyle name="Обычный 4 3" xfId="13"/>
    <cellStyle name="Обычный 4 4" xfId="20"/>
    <cellStyle name="Обычный 5" xfId="5"/>
    <cellStyle name="Обычный 5 2" xfId="9"/>
    <cellStyle name="Обычный 5 3" xfId="7"/>
    <cellStyle name="Обычный 5 3 2" xfId="16"/>
    <cellStyle name="Обычный 5 3 3" xfId="23"/>
    <cellStyle name="Обычный 5 4" xfId="14"/>
    <cellStyle name="Обычный 5 5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" sqref="K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4" t="s">
        <v>177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82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83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2207301.12</v>
      </c>
      <c r="K10" s="109"/>
      <c r="L10" s="195"/>
      <c r="M10" s="109"/>
      <c r="N10" s="109"/>
      <c r="O10" s="70" t="s">
        <v>84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1961466.790000001</v>
      </c>
      <c r="K11" s="109"/>
      <c r="L11" s="195"/>
      <c r="M11" s="109"/>
      <c r="N11" s="109"/>
      <c r="O11" s="70" t="s">
        <v>85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1047247.0900000009</v>
      </c>
      <c r="K12" s="109"/>
      <c r="L12" s="195"/>
      <c r="M12" s="109"/>
      <c r="N12" s="109"/>
      <c r="O12" s="70" t="s">
        <v>86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455658</v>
      </c>
      <c r="K13" s="109"/>
      <c r="L13" s="195"/>
      <c r="M13" s="109"/>
      <c r="N13" s="109"/>
      <c r="O13" s="70" t="s">
        <v>87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458561.70000000013</v>
      </c>
      <c r="K14" s="109"/>
      <c r="L14" s="195"/>
      <c r="M14" s="109"/>
      <c r="N14" s="109"/>
      <c r="O14" s="70" t="s">
        <v>88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1901705.5200000005</v>
      </c>
      <c r="K15" s="109"/>
      <c r="L15" s="195"/>
      <c r="M15" s="109"/>
      <c r="N15" s="109"/>
      <c r="O15" s="70" t="s">
        <v>89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1901705.5200000005</v>
      </c>
      <c r="K16" s="109"/>
      <c r="L16" s="195"/>
      <c r="M16" s="109"/>
      <c r="N16" s="109"/>
      <c r="O16" s="70" t="s">
        <v>90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91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92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93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94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1901705.5200000005</v>
      </c>
      <c r="K21" s="109"/>
      <c r="L21" s="195"/>
      <c r="M21" s="109"/>
      <c r="N21" s="109"/>
      <c r="O21" s="70" t="s">
        <v>95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96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97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2267062.3900000006</v>
      </c>
      <c r="K24" s="109"/>
      <c r="L24" s="19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7" t="s">
        <v>19</v>
      </c>
      <c r="B27" s="187"/>
      <c r="C27" s="187"/>
      <c r="D27" s="187"/>
      <c r="E27" s="187"/>
      <c r="F27" s="187" t="s">
        <v>20</v>
      </c>
      <c r="G27" s="187"/>
      <c r="H27" s="5" t="s">
        <v>57</v>
      </c>
      <c r="I27" s="187" t="s">
        <v>21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598734.6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169504.8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42831.839999999997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109357.56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71082.600000000006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157657.68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9"/>
      <c r="C35" s="179"/>
      <c r="D35" s="179"/>
      <c r="E35" s="179"/>
      <c r="F35" s="184">
        <f>VLOOKUP(A35,ПТО!$A$39:$D$53,2,FALSE)</f>
        <v>363615.12</v>
      </c>
      <c r="G35" s="184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9"/>
      <c r="L35" s="196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71</v>
      </c>
    </row>
    <row r="36" spans="1:18" ht="51" hidden="1" customHeight="1" outlineLevel="1">
      <c r="A36" s="179">
        <f>ПТО!A47</f>
        <v>0</v>
      </c>
      <c r="B36" s="179"/>
      <c r="C36" s="179"/>
      <c r="D36" s="179"/>
      <c r="E36" s="179"/>
      <c r="F36" s="184" t="e">
        <f>VLOOKUP(A36,ПТО!$A$39:$D$53,2,FALSE)</f>
        <v>#N/A</v>
      </c>
      <c r="G36" s="184"/>
      <c r="H36" s="42" t="e">
        <f>VLOOKUP(A36,ПТО!$A$39:$D$53,3,FALSE)</f>
        <v>#N/A</v>
      </c>
      <c r="I36" s="180" t="e">
        <f>VLOOKUP(A36,ПТО!$A$39:$D$53,4,FALSE)</f>
        <v>#N/A</v>
      </c>
      <c r="J36" s="180"/>
      <c r="K36" s="109"/>
      <c r="L36" s="196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4" t="e">
        <f>VLOOKUP(A37,ПТО!$A$39:$D$53,2,FALSE)</f>
        <v>#N/A</v>
      </c>
      <c r="G37" s="184"/>
      <c r="H37" s="42" t="e">
        <f>VLOOKUP(A37,ПТО!$A$39:$D$53,3,FALSE)</f>
        <v>#N/A</v>
      </c>
      <c r="I37" s="180" t="e">
        <f>VLOOKUP(A37,ПТО!$A$39:$D$53,4,FALSE)</f>
        <v>#N/A</v>
      </c>
      <c r="J37" s="180"/>
      <c r="K37" s="109"/>
      <c r="L37" s="19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9" t="str">
        <f>ПТО!A2</f>
        <v>Техническое обслуживание системы видеонаблюдения.</v>
      </c>
      <c r="B43" s="179"/>
      <c r="C43" s="179"/>
      <c r="D43" s="179"/>
      <c r="E43" s="179"/>
      <c r="F43" s="184">
        <f>VLOOKUP(A43,ПТО!$A$2:$D$31,4,FALSE)</f>
        <v>15139.2</v>
      </c>
      <c r="G43" s="184"/>
      <c r="H43" s="19" t="str">
        <f>VLOOKUP(A43,ПТО!$A$2:$D$31,2,FALSE)</f>
        <v>ежемесячно</v>
      </c>
      <c r="I43" s="180">
        <f>VLOOKUP(A43,ПТО!$A$2:$D$31,3,FALSE)</f>
        <v>12</v>
      </c>
      <c r="J43" s="180"/>
      <c r="K43" s="109"/>
      <c r="L43" s="196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79" t="str">
        <f>ПТО!A3</f>
        <v>Техническое освидетельствование лифтов.</v>
      </c>
      <c r="B44" s="179"/>
      <c r="C44" s="179"/>
      <c r="D44" s="179"/>
      <c r="E44" s="179"/>
      <c r="F44" s="184">
        <f>VLOOKUP(A44,ПТО!$A$2:$D$31,4,FALSE)</f>
        <v>16200</v>
      </c>
      <c r="G44" s="184"/>
      <c r="H44" s="25" t="str">
        <f>VLOOKUP(A44,ПТО!$A$2:$D$31,2,FALSE)</f>
        <v>ежегодно</v>
      </c>
      <c r="I44" s="180">
        <f>VLOOKUP(A44,ПТО!$A$2:$D$31,3,FALSE)</f>
        <v>2</v>
      </c>
      <c r="J44" s="180"/>
      <c r="K44" s="109"/>
      <c r="L44" s="196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79" t="str">
        <f>ПТО!A4</f>
        <v>Приобретение новогодней гирлянды.</v>
      </c>
      <c r="B45" s="179"/>
      <c r="C45" s="179"/>
      <c r="D45" s="179"/>
      <c r="E45" s="179"/>
      <c r="F45" s="184">
        <f>VLOOKUP(A45,ПТО!$A$2:$D$31,4,FALSE)</f>
        <v>484</v>
      </c>
      <c r="G45" s="184"/>
      <c r="H45" s="25" t="str">
        <f>VLOOKUP(A45,ПТО!$A$2:$D$31,2,FALSE)</f>
        <v>разово</v>
      </c>
      <c r="I45" s="180">
        <f>VLOOKUP(A45,ПТО!$A$2:$D$31,3,FALSE)</f>
        <v>1</v>
      </c>
      <c r="J45" s="180"/>
      <c r="K45" s="109"/>
      <c r="L45" s="196"/>
      <c r="M45" s="115"/>
      <c r="N45" s="109"/>
      <c r="O45" s="23" t="str">
        <f t="shared" si="1"/>
        <v>Приобретение новогодней гирлянды.</v>
      </c>
      <c r="R45" s="22" t="s">
        <v>72</v>
      </c>
    </row>
    <row r="46" spans="1:18" ht="51" customHeight="1" outlineLevel="1">
      <c r="A46" s="179" t="str">
        <f>ПТО!A5</f>
        <v>Ремонт блока бесперебойного питания системы видеонаблюдения.</v>
      </c>
      <c r="B46" s="179"/>
      <c r="C46" s="179"/>
      <c r="D46" s="179"/>
      <c r="E46" s="179"/>
      <c r="F46" s="184">
        <f>VLOOKUP(A46,ПТО!$A$2:$D$31,4,FALSE)</f>
        <v>830.68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5"/>
      <c r="N46" s="109"/>
      <c r="O46" s="23" t="str">
        <f t="shared" si="1"/>
        <v>Ремонт блока бесперебойного питания системы видеонаблюдения.</v>
      </c>
      <c r="R46" s="22" t="s">
        <v>72</v>
      </c>
    </row>
    <row r="47" spans="1:18" ht="51" customHeight="1" outlineLevel="1">
      <c r="A47" s="179" t="str">
        <f>ПТО!A6</f>
        <v>Замена блока бесперебойного питания пожарной сигнализации.</v>
      </c>
      <c r="B47" s="179"/>
      <c r="C47" s="179"/>
      <c r="D47" s="179"/>
      <c r="E47" s="179"/>
      <c r="F47" s="184">
        <f>VLOOKUP(A47,ПТО!$A$2:$D$31,4,FALSE)</f>
        <v>1955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5"/>
      <c r="N47" s="109"/>
      <c r="O47" s="23" t="str">
        <f t="shared" si="1"/>
        <v>Замена блока бесперебойного питания пожарной сигнализации.</v>
      </c>
      <c r="R47" s="22" t="s">
        <v>72</v>
      </c>
    </row>
    <row r="48" spans="1:18" ht="51" customHeight="1" outlineLevel="1">
      <c r="A48" s="179" t="str">
        <f>ПТО!A7</f>
        <v>Замена камеры системы видеонаблюдения (бол.лифт).</v>
      </c>
      <c r="B48" s="179"/>
      <c r="C48" s="179"/>
      <c r="D48" s="179"/>
      <c r="E48" s="179"/>
      <c r="F48" s="184">
        <f>VLOOKUP(A48,ПТО!$A$2:$D$31,4,FALSE)</f>
        <v>5760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5"/>
      <c r="N48" s="109"/>
      <c r="O48" s="23" t="str">
        <f t="shared" si="1"/>
        <v>Замена камеры системы видеонаблюдения (бол.лифт).</v>
      </c>
      <c r="R48" s="22" t="s">
        <v>72</v>
      </c>
    </row>
    <row r="49" spans="1:18" ht="51" customHeight="1" outlineLevel="1">
      <c r="A49" s="179" t="str">
        <f>ПТО!A8</f>
        <v>Изготовление и монтаж тамбурной двери.</v>
      </c>
      <c r="B49" s="179"/>
      <c r="C49" s="179"/>
      <c r="D49" s="179"/>
      <c r="E49" s="179"/>
      <c r="F49" s="184">
        <f>VLOOKUP(A49,ПТО!$A$2:$D$31,4,FALSE)</f>
        <v>31633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5"/>
      <c r="N49" s="109"/>
      <c r="O49" s="23" t="str">
        <f t="shared" si="1"/>
        <v>Изготовление и монтаж тамбурной двери.</v>
      </c>
      <c r="R49" s="22" t="s">
        <v>72</v>
      </c>
    </row>
    <row r="50" spans="1:18" ht="51" customHeight="1" outlineLevel="1">
      <c r="A50" s="179" t="str">
        <f>ПТО!A9</f>
        <v>Приобретение и установка таблички по пожарной безопасности.</v>
      </c>
      <c r="B50" s="179"/>
      <c r="C50" s="179"/>
      <c r="D50" s="179"/>
      <c r="E50" s="179"/>
      <c r="F50" s="184">
        <f>VLOOKUP(A50,ПТО!$A$2:$D$31,4,FALSE)</f>
        <v>250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5"/>
      <c r="N50" s="109"/>
      <c r="O50" s="23" t="str">
        <f t="shared" si="1"/>
        <v>Приобретение и установка таблички по пожарной безопасности.</v>
      </c>
      <c r="R50" s="22" t="s">
        <v>72</v>
      </c>
    </row>
    <row r="51" spans="1:18" ht="51" customHeight="1" outlineLevel="1">
      <c r="A51" s="179" t="str">
        <f>ПТО!A10</f>
        <v>Благоустройство придомовой территории (приобретение чернозема).</v>
      </c>
      <c r="B51" s="179"/>
      <c r="C51" s="179"/>
      <c r="D51" s="179"/>
      <c r="E51" s="179"/>
      <c r="F51" s="184">
        <f>VLOOKUP(A51,ПТО!$A$2:$D$31,4,FALSE)</f>
        <v>4500</v>
      </c>
      <c r="G51" s="184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9"/>
      <c r="L51" s="196"/>
      <c r="M51" s="115"/>
      <c r="N51" s="109"/>
      <c r="O51" s="23" t="str">
        <f t="shared" si="1"/>
        <v>Благоустройство придомовой территории (приобретение чернозема).</v>
      </c>
      <c r="R51" s="22" t="s">
        <v>72</v>
      </c>
    </row>
    <row r="52" spans="1:18" ht="51" customHeight="1" outlineLevel="1">
      <c r="A52" s="179" t="str">
        <f>ПТО!A11</f>
        <v>Ремонт прибора учета тепловой энергии.</v>
      </c>
      <c r="B52" s="179"/>
      <c r="C52" s="179"/>
      <c r="D52" s="179"/>
      <c r="E52" s="179"/>
      <c r="F52" s="184">
        <f>VLOOKUP(A52,ПТО!$A$2:$D$31,4,FALSE)</f>
        <v>2438.6666666666665</v>
      </c>
      <c r="G52" s="184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9"/>
      <c r="L52" s="196"/>
      <c r="M52" s="115"/>
      <c r="N52" s="109"/>
      <c r="O52" s="23" t="str">
        <f t="shared" si="1"/>
        <v>Ремонт прибора учета тепловой энергии.</v>
      </c>
      <c r="R52" s="22" t="s">
        <v>72</v>
      </c>
    </row>
    <row r="53" spans="1:18" ht="51" customHeight="1" outlineLevel="1">
      <c r="A53" s="179" t="str">
        <f>ПТО!A12</f>
        <v>Ремонтно-восстановительные работы системы пожарной сигнализации.</v>
      </c>
      <c r="B53" s="179"/>
      <c r="C53" s="179"/>
      <c r="D53" s="179"/>
      <c r="E53" s="179"/>
      <c r="F53" s="184">
        <f>VLOOKUP(A53,ПТО!$A$2:$D$31,4,FALSE)</f>
        <v>6280.64</v>
      </c>
      <c r="G53" s="184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9"/>
      <c r="L53" s="196"/>
      <c r="M53" s="115"/>
      <c r="N53" s="109"/>
      <c r="O53" s="23" t="str">
        <f t="shared" si="1"/>
        <v>Ремонтно-восстановительные работы системы пожарной сигнализации.</v>
      </c>
      <c r="R53" s="22" t="s">
        <v>72</v>
      </c>
    </row>
    <row r="54" spans="1:18" ht="51" customHeight="1" outlineLevel="1">
      <c r="A54" s="179" t="str">
        <f>ПТО!A13</f>
        <v>Ремонт и укладка плитки на крыльцо.</v>
      </c>
      <c r="B54" s="179"/>
      <c r="C54" s="179"/>
      <c r="D54" s="179"/>
      <c r="E54" s="179"/>
      <c r="F54" s="184">
        <f>VLOOKUP(A54,ПТО!$A$2:$D$31,4,FALSE)</f>
        <v>171920</v>
      </c>
      <c r="G54" s="184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9"/>
      <c r="L54" s="196"/>
      <c r="M54" s="115"/>
      <c r="N54" s="109"/>
      <c r="O54" s="23" t="str">
        <f t="shared" si="1"/>
        <v>Ремонт и укладка плитки на крыльцо.</v>
      </c>
      <c r="R54" s="22" t="s">
        <v>72</v>
      </c>
    </row>
    <row r="55" spans="1:18" ht="51" customHeight="1" outlineLevel="1">
      <c r="A55" s="179" t="str">
        <f>ПТО!A14</f>
        <v>Ремонт балкона (1 этаж).</v>
      </c>
      <c r="B55" s="179"/>
      <c r="C55" s="179"/>
      <c r="D55" s="179"/>
      <c r="E55" s="179"/>
      <c r="F55" s="184">
        <f>VLOOKUP(A55,ПТО!$A$2:$D$31,4,FALSE)</f>
        <v>67380</v>
      </c>
      <c r="G55" s="184"/>
      <c r="H55" s="25" t="str">
        <f>VLOOKUP(A55,ПТО!$A$2:$D$31,2,FALSE)</f>
        <v>разово</v>
      </c>
      <c r="I55" s="180">
        <f>VLOOKUP(A55,ПТО!$A$2:$D$31,3,FALSE)</f>
        <v>1</v>
      </c>
      <c r="J55" s="180"/>
      <c r="K55" s="109"/>
      <c r="L55" s="196"/>
      <c r="M55" s="115"/>
      <c r="N55" s="109"/>
      <c r="O55" s="23" t="str">
        <f t="shared" si="1"/>
        <v>Ремонт балкона (1 этаж).</v>
      </c>
      <c r="R55" s="22" t="s">
        <v>72</v>
      </c>
    </row>
    <row r="56" spans="1:18" ht="51" customHeight="1" outlineLevel="1">
      <c r="A56" s="179" t="str">
        <f>ПТО!A15</f>
        <v>Испытание ограждений кровли крыши.</v>
      </c>
      <c r="B56" s="179"/>
      <c r="C56" s="179"/>
      <c r="D56" s="179"/>
      <c r="E56" s="179"/>
      <c r="F56" s="184">
        <f>VLOOKUP(A56,ПТО!$A$2:$D$31,4,FALSE)</f>
        <v>8144</v>
      </c>
      <c r="G56" s="184"/>
      <c r="H56" s="25" t="str">
        <f>VLOOKUP(A56,ПТО!$A$2:$D$31,2,FALSE)</f>
        <v>разово</v>
      </c>
      <c r="I56" s="180">
        <f>VLOOKUP(A56,ПТО!$A$2:$D$31,3,FALSE)</f>
        <v>1</v>
      </c>
      <c r="J56" s="180"/>
      <c r="K56" s="109"/>
      <c r="L56" s="196"/>
      <c r="M56" s="115"/>
      <c r="N56" s="109"/>
      <c r="O56" s="23" t="str">
        <f t="shared" si="1"/>
        <v>Испытание ограждений кровли крыши.</v>
      </c>
      <c r="R56" s="22" t="s">
        <v>72</v>
      </c>
    </row>
    <row r="57" spans="1:18" ht="51" customHeight="1" outlineLevel="1">
      <c r="A57" s="179" t="str">
        <f>ПТО!A16</f>
        <v>Испытание пожарных кранов и перекатка пожарных рукавов.</v>
      </c>
      <c r="B57" s="179"/>
      <c r="C57" s="179"/>
      <c r="D57" s="179"/>
      <c r="E57" s="179"/>
      <c r="F57" s="184">
        <f>VLOOKUP(A57,ПТО!$A$2:$D$31,4,FALSE)</f>
        <v>10400</v>
      </c>
      <c r="G57" s="184"/>
      <c r="H57" s="25" t="str">
        <f>VLOOKUP(A57,ПТО!$A$2:$D$31,2,FALSE)</f>
        <v>разово</v>
      </c>
      <c r="I57" s="180">
        <f>VLOOKUP(A57,ПТО!$A$2:$D$31,3,FALSE)</f>
        <v>1</v>
      </c>
      <c r="J57" s="180"/>
      <c r="K57" s="109"/>
      <c r="L57" s="196"/>
      <c r="M57" s="115"/>
      <c r="N57" s="109"/>
      <c r="O57" s="23" t="str">
        <f t="shared" si="1"/>
        <v>Испытание пожарных кранов и перекатка пожарных рукавов.</v>
      </c>
      <c r="R57" s="22" t="s">
        <v>72</v>
      </c>
    </row>
    <row r="58" spans="1:18" ht="51" customHeight="1" outlineLevel="1">
      <c r="A58" s="179" t="str">
        <f>ПТО!A17</f>
        <v>Приобретение и установка пожарных рукавов и стволов (16 шт.)</v>
      </c>
      <c r="B58" s="179"/>
      <c r="C58" s="179"/>
      <c r="D58" s="179"/>
      <c r="E58" s="179"/>
      <c r="F58" s="184">
        <f>VLOOKUP(A58,ПТО!$A$2:$D$31,4,FALSE)</f>
        <v>23344</v>
      </c>
      <c r="G58" s="184"/>
      <c r="H58" s="25" t="str">
        <f>VLOOKUP(A58,ПТО!$A$2:$D$31,2,FALSE)</f>
        <v>разово</v>
      </c>
      <c r="I58" s="180">
        <f>VLOOKUP(A58,ПТО!$A$2:$D$31,3,FALSE)</f>
        <v>1</v>
      </c>
      <c r="J58" s="180"/>
      <c r="K58" s="109"/>
      <c r="L58" s="196"/>
      <c r="M58" s="115"/>
      <c r="N58" s="109"/>
      <c r="O58" s="23" t="str">
        <f t="shared" si="1"/>
        <v>Приобретение и установка пожарных рукавов и стволов (16 шт.)</v>
      </c>
      <c r="R58" s="22" t="s">
        <v>72</v>
      </c>
    </row>
    <row r="59" spans="1:18" ht="51" hidden="1" customHeight="1" outlineLevel="1">
      <c r="A59" s="179">
        <f>ПТО!A18</f>
        <v>0</v>
      </c>
      <c r="B59" s="179"/>
      <c r="C59" s="179"/>
      <c r="D59" s="179"/>
      <c r="E59" s="179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0" t="e">
        <f>VLOOKUP(A59,ПТО!$A$2:$D$31,3,FALSE)</f>
        <v>#N/A</v>
      </c>
      <c r="J59" s="180"/>
      <c r="K59" s="109"/>
      <c r="L59" s="19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9"/>
      <c r="L60" s="19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9"/>
      <c r="L61" s="19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9"/>
      <c r="L62" s="19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9"/>
      <c r="L63" s="19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9"/>
      <c r="L70" s="19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9"/>
      <c r="L72" s="19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99</v>
      </c>
    </row>
    <row r="76" spans="1:16384" ht="18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100</v>
      </c>
    </row>
    <row r="77" spans="1:16384" ht="21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99"/>
      <c r="M77" s="109"/>
      <c r="N77" s="109"/>
      <c r="O77" s="70" t="s">
        <v>101</v>
      </c>
    </row>
    <row r="78" spans="1:16384" ht="18.75" customHeight="1" outlineLevel="1">
      <c r="A78" s="197" t="s">
        <v>30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99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103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85"/>
      <c r="M82" s="109"/>
      <c r="N82" s="109"/>
      <c r="O82" s="70" t="s">
        <v>104</v>
      </c>
    </row>
    <row r="83" spans="1:15" outlineLevel="1">
      <c r="A83" s="191" t="s">
        <v>4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36803.480000000003</v>
      </c>
      <c r="K83" s="109"/>
      <c r="L83" s="185"/>
      <c r="M83" s="109"/>
      <c r="N83" s="109"/>
      <c r="O83" s="70" t="s">
        <v>105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106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0</v>
      </c>
      <c r="K85" s="109"/>
      <c r="L85" s="185"/>
      <c r="M85" s="109"/>
      <c r="N85" s="109"/>
      <c r="O85" s="70" t="s">
        <v>107</v>
      </c>
    </row>
    <row r="86" spans="1:15" outlineLevel="1">
      <c r="A86" s="191" t="s">
        <v>18</v>
      </c>
      <c r="B86" s="192"/>
      <c r="C86" s="192"/>
      <c r="D86" s="192"/>
      <c r="E86" s="192"/>
      <c r="F86" s="192"/>
      <c r="G86" s="192"/>
      <c r="H86" s="192"/>
      <c r="I86" s="193"/>
      <c r="J86" s="97">
        <f t="shared" si="2"/>
        <v>11742.279999999795</v>
      </c>
      <c r="K86" s="109"/>
      <c r="L86" s="185"/>
      <c r="M86" s="109"/>
      <c r="N86" s="109"/>
      <c r="O86" s="70" t="s">
        <v>108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109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110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09"/>
      <c r="L89" s="185"/>
      <c r="M89" s="109"/>
      <c r="N89" s="109"/>
      <c r="O89" s="70" t="s">
        <v>111</v>
      </c>
    </row>
    <row r="90" spans="1:15" ht="18.75" customHeight="1" outlineLevel="1">
      <c r="A90" s="191" t="s">
        <v>30</v>
      </c>
      <c r="B90" s="192"/>
      <c r="C90" s="192"/>
      <c r="D90" s="192"/>
      <c r="E90" s="192"/>
      <c r="F90" s="192"/>
      <c r="G90" s="192"/>
      <c r="H90" s="192"/>
      <c r="I90" s="193"/>
      <c r="J90" s="97">
        <f t="shared" si="2"/>
        <v>0</v>
      </c>
      <c r="K90" s="109"/>
      <c r="L90" s="18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0" t="s">
        <v>48</v>
      </c>
      <c r="B93" s="200"/>
      <c r="C93" s="200"/>
      <c r="D93" s="201" t="s">
        <v>49</v>
      </c>
      <c r="E93" s="201"/>
      <c r="F93" s="10" t="s">
        <v>50</v>
      </c>
      <c r="G93" s="200" t="s">
        <v>51</v>
      </c>
      <c r="H93" s="200"/>
      <c r="I93" s="200"/>
      <c r="J93" s="200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82" t="str">
        <f>IF(VLOOKUP("эл",АО,3,FALSE)&gt;0,VLOOKUP("эл",АО,3,FALSE),0)</f>
        <v>Предоставляется</v>
      </c>
      <c r="E94" s="182"/>
      <c r="F94" s="13" t="str">
        <f>IF(VLOOKUP("эл",АО,3,FALSE)&gt;0,VLOOKUP("эл",АО,4,FALSE),0)</f>
        <v>кВт*ч</v>
      </c>
      <c r="G94" s="183">
        <f>VLOOKUP("эл",АО,5,FALSE)</f>
        <v>91837.719999999943</v>
      </c>
      <c r="H94" s="182"/>
      <c r="I94" s="182"/>
      <c r="J94" s="182"/>
      <c r="K94" s="1" t="str">
        <f>VLOOKUP("эл",АО,2,FALSE)</f>
        <v>Электроснабжение</v>
      </c>
      <c r="L94" s="186"/>
    </row>
    <row r="95" spans="1:15" outlineLevel="2">
      <c r="A95" s="198" t="str">
        <f>IF(VLOOKUP("эл",АО,3,FALSE)&gt;0,VLOOKUP("эл1",АО,2,FALSE),0)</f>
        <v>Общий объем потребления, нат. показ.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80559.40350877188</v>
      </c>
      <c r="L95" s="186"/>
      <c r="O95" s="1" t="s">
        <v>113</v>
      </c>
    </row>
    <row r="96" spans="1:15" outlineLevel="2">
      <c r="A96" s="198" t="str">
        <f>IF(VLOOKUP("эл",АО,3,FALSE)&gt;0,VLOOKUP("эл2",АО,2,FALSE),0)</f>
        <v>Оплачено потребителями, руб.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97451.12</v>
      </c>
      <c r="L96" s="186"/>
      <c r="O96" s="1" t="s">
        <v>114</v>
      </c>
    </row>
    <row r="97" spans="1:15" outlineLevel="2">
      <c r="A97" s="198" t="str">
        <f>IF(VLOOKUP("эл",АО,3,FALSE)&gt;0,VLOOKUP("эл3",АО,2,FALSE),0)</f>
        <v>Задолженность потребителей, руб.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0</v>
      </c>
      <c r="L97" s="186"/>
      <c r="O97" s="1" t="s">
        <v>115</v>
      </c>
    </row>
    <row r="98" spans="1:15" ht="37.5" customHeight="1" outlineLevel="2">
      <c r="A98" s="198" t="str">
        <f>IF(VLOOKUP("эл",АО,3,FALSE)&gt;0,VLOOKUP("эл4",АО,2,FALSE),0)</f>
        <v>Начислено поставщиком (поставщиками) коммунального ресурса, руб.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91837.719999999943</v>
      </c>
      <c r="L98" s="186"/>
      <c r="O98" s="1" t="s">
        <v>116</v>
      </c>
    </row>
    <row r="99" spans="1:15" outlineLevel="2">
      <c r="A99" s="198" t="str">
        <f>IF(VLOOKUP("эл",АО,3,FALSE)&gt;0,VLOOKUP("эл5",АО,2,FALSE),0)</f>
        <v>Оплачено поставщику (поставщикам) коммунального ресурса, руб.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91837.719999999943</v>
      </c>
      <c r="L99" s="186"/>
      <c r="O99" s="1" t="s">
        <v>117</v>
      </c>
    </row>
    <row r="100" spans="1:15" ht="39" customHeight="1" outlineLevel="2">
      <c r="A100" s="19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118</v>
      </c>
    </row>
    <row r="101" spans="1:15" ht="34.5" customHeight="1" outlineLevel="2">
      <c r="A101" s="19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186"/>
      <c r="O101" s="1" t="s">
        <v>119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3">
        <f>VLOOKUP("хвс",АО,5,FALSE)</f>
        <v>291393.27000000014</v>
      </c>
      <c r="H102" s="182"/>
      <c r="I102" s="182"/>
      <c r="J102" s="182"/>
      <c r="L102" s="186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21536.827050997792</v>
      </c>
      <c r="L103" s="186"/>
      <c r="O103" s="1" t="s">
        <v>122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292288.28000000003</v>
      </c>
      <c r="L104" s="186"/>
      <c r="O104" s="1" t="s">
        <v>123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0</v>
      </c>
      <c r="L105" s="186"/>
      <c r="O105" s="1" t="s">
        <v>124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291393.27000000014</v>
      </c>
      <c r="L106" s="186"/>
      <c r="O106" s="1" t="s">
        <v>125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291393.27000000014</v>
      </c>
      <c r="L107" s="186"/>
      <c r="O107" s="1" t="s">
        <v>126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127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186"/>
      <c r="O109" s="1" t="s">
        <v>128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3">
        <f>VLOOKUP("воо",АО,5,FALSE)</f>
        <v>335680.2800000002</v>
      </c>
      <c r="H110" s="182"/>
      <c r="I110" s="182"/>
      <c r="J110" s="182"/>
      <c r="L110" s="186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21755.040829552832</v>
      </c>
      <c r="L111" s="186"/>
      <c r="O111" s="1" t="s">
        <v>130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327061.83999999997</v>
      </c>
      <c r="L112" s="186"/>
      <c r="O112" s="1" t="s">
        <v>131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8618.4400000002352</v>
      </c>
      <c r="L113" s="186"/>
      <c r="O113" s="1" t="s">
        <v>132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335680.2800000002</v>
      </c>
      <c r="L114" s="186"/>
      <c r="O114" s="1" t="s">
        <v>133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335680.2800000002</v>
      </c>
      <c r="L115" s="186"/>
      <c r="O115" s="1" t="s">
        <v>134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135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86"/>
      <c r="O117" s="1" t="s">
        <v>136</v>
      </c>
    </row>
    <row r="118" spans="1:15" ht="32.25" customHeight="1" outlineLevel="1">
      <c r="A118" s="181" t="str">
        <f>IF(VLOOKUP("тко",АО,3,FALSE)&gt;0,"Обращение с ТКО",0)</f>
        <v>Обращение с ТКО</v>
      </c>
      <c r="B118" s="181"/>
      <c r="C118" s="181"/>
      <c r="D118" s="182" t="str">
        <f>IF(VLOOKUP("тко",АО,3,FALSE)&gt;0,VLOOKUP("тко",АО,3,FALSE),0)</f>
        <v>Предоставляется</v>
      </c>
      <c r="E118" s="182"/>
      <c r="F118" s="13" t="str">
        <f>IF(VLOOKUP("тко",АО,3,FALSE)&gt;0,VLOOKUP("тко",АО,4,FALSE),0)</f>
        <v>куб.м.</v>
      </c>
      <c r="G118" s="183">
        <f>VLOOKUP("тко",АО,5,FALSE)</f>
        <v>29390.289999999997</v>
      </c>
      <c r="H118" s="182"/>
      <c r="I118" s="182"/>
      <c r="J118" s="182"/>
      <c r="L118" s="47"/>
    </row>
    <row r="119" spans="1:15" ht="32.25" customHeight="1" outlineLevel="2">
      <c r="A119" s="177" t="str">
        <f t="shared" ref="A119:A125" si="8">IF(VLOOKUP("тко",АО,3,FALSE)&gt;0,VLOOKUP(O119,АО,2,FALSE),0)</f>
        <v>Общий объем потребления, нат. показ.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51.842955671976149</v>
      </c>
      <c r="L119" s="47"/>
      <c r="O119" s="1" t="s">
        <v>138</v>
      </c>
    </row>
    <row r="120" spans="1:15" ht="32.25" customHeight="1" outlineLevel="2">
      <c r="A120" s="177" t="str">
        <f t="shared" si="8"/>
        <v>Оплачено потребителями, руб.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77720.56</v>
      </c>
      <c r="L120" s="47"/>
      <c r="O120" s="1" t="s">
        <v>139</v>
      </c>
    </row>
    <row r="121" spans="1:15" ht="32.25" customHeight="1" outlineLevel="2">
      <c r="A121" s="177" t="str">
        <f t="shared" si="8"/>
        <v>Задолженность потребителей, руб.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77" t="str">
        <f t="shared" si="8"/>
        <v>Начислено поставщиком (поставщиками) коммунального ресурса, руб.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29390.289999999997</v>
      </c>
      <c r="L122" s="47"/>
      <c r="O122" s="1" t="s">
        <v>141</v>
      </c>
    </row>
    <row r="123" spans="1:15" ht="32.25" customHeight="1" outlineLevel="2">
      <c r="A123" s="177" t="str">
        <f t="shared" si="8"/>
        <v>Оплачено поставщику (поставщикам) коммунального ресурса, руб.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29390.289999999997</v>
      </c>
      <c r="L123" s="47"/>
      <c r="O123" s="1" t="s">
        <v>142</v>
      </c>
    </row>
    <row r="124" spans="1:15" ht="32.25" customHeight="1" outlineLevel="2">
      <c r="A124" s="177" t="str">
        <f t="shared" si="8"/>
        <v>Задолженность перед поставщиком (поставщиками) коммунального ресурса, руб.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7" t="str">
        <f t="shared" si="8"/>
        <v>Размер пени и штрафов, уплаченных поставщику (поставщикам) коммунального ресурса, руб.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82">
        <f>IF(VLOOKUP("гвс",АО,3,FALSE)&gt;0,VLOOKUP("гвс",АО,3,FALSE),0)</f>
        <v>0</v>
      </c>
      <c r="E126" s="182"/>
      <c r="F126" s="13">
        <f>IF(VLOOKUP("гвс",АО,3,FALSE)&gt;0,VLOOKUP("гвс",АО,4,FALSE),0)</f>
        <v>0</v>
      </c>
      <c r="G126" s="183">
        <f>VLOOKUP("гвс",АО,5,FALSE)</f>
        <v>0</v>
      </c>
      <c r="H126" s="182"/>
      <c r="I126" s="182"/>
      <c r="J126" s="182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3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170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77" t="s">
        <v>173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172</v>
      </c>
    </row>
    <row r="149" spans="1:15" ht="52.5" customHeight="1">
      <c r="A149" s="202" t="s">
        <v>192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204" t="s">
        <v>197</v>
      </c>
      <c r="B154" s="204"/>
      <c r="C154" s="204"/>
      <c r="D154" s="204"/>
      <c r="E154" s="27">
        <f>ПТО!G1</f>
        <v>-474550.64</v>
      </c>
    </row>
    <row r="155" spans="1:15" ht="34.5" customHeight="1">
      <c r="A155" s="203" t="s">
        <v>196</v>
      </c>
      <c r="B155" s="203"/>
      <c r="C155" s="203"/>
      <c r="D155" s="203"/>
      <c r="E155" s="28">
        <f>J13</f>
        <v>455658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19</v>
      </c>
      <c r="B157" s="187"/>
      <c r="C157" s="187"/>
      <c r="D157" s="187"/>
      <c r="E157" s="187"/>
      <c r="F157" s="187" t="s">
        <v>20</v>
      </c>
      <c r="G157" s="187"/>
      <c r="H157" s="20" t="s">
        <v>57</v>
      </c>
      <c r="I157" s="187" t="s">
        <v>21</v>
      </c>
      <c r="J157" s="187"/>
    </row>
    <row r="158" spans="1:15" ht="29.25" customHeight="1">
      <c r="A158" s="179" t="str">
        <f t="shared" ref="A158:A163" si="14">IF(N158&gt;0,N158,0)</f>
        <v>Техническое обслуживание системы видеонаблюдения.</v>
      </c>
      <c r="B158" s="179"/>
      <c r="C158" s="179"/>
      <c r="D158" s="179"/>
      <c r="E158" s="179"/>
      <c r="F158" s="184">
        <f t="shared" ref="F158:F163" si="15">IF(ISERROR(VLOOKUP(A158,$A$28:$J$72,6,FALSE)),0,VLOOKUP(A158,$A$28:$J$72,6,FALSE))</f>
        <v>15139.2</v>
      </c>
      <c r="G158" s="184"/>
      <c r="H158" s="24" t="str">
        <f t="shared" ref="H158:H187" si="16">VLOOKUP(A158,$A$28:$J$72,8,FALSE)</f>
        <v>ежемесячно</v>
      </c>
      <c r="I158" s="180">
        <f t="shared" ref="I158:I161" si="17">VLOOKUP(A158,$A$28:$J$72,9,FALSE)</f>
        <v>12</v>
      </c>
      <c r="J158" s="180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79" t="str">
        <f t="shared" si="14"/>
        <v>Техническое освидетельствование лифтов.</v>
      </c>
      <c r="B159" s="179"/>
      <c r="C159" s="179"/>
      <c r="D159" s="179"/>
      <c r="E159" s="179"/>
      <c r="F159" s="184">
        <f t="shared" si="15"/>
        <v>16200</v>
      </c>
      <c r="G159" s="184"/>
      <c r="H159" s="24" t="str">
        <f t="shared" si="16"/>
        <v>ежегодно</v>
      </c>
      <c r="I159" s="180">
        <f t="shared" si="17"/>
        <v>2</v>
      </c>
      <c r="J159" s="180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79" t="str">
        <f t="shared" si="14"/>
        <v>Приобретение новогодней гирлянды.</v>
      </c>
      <c r="B160" s="179"/>
      <c r="C160" s="179"/>
      <c r="D160" s="179"/>
      <c r="E160" s="179"/>
      <c r="F160" s="184">
        <f t="shared" si="15"/>
        <v>484</v>
      </c>
      <c r="G160" s="184"/>
      <c r="H160" s="24" t="str">
        <f t="shared" si="16"/>
        <v>разово</v>
      </c>
      <c r="I160" s="180">
        <f t="shared" si="17"/>
        <v>1</v>
      </c>
      <c r="J160" s="180"/>
      <c r="M160" s="22" t="s">
        <v>72</v>
      </c>
      <c r="N160" s="1" t="str">
        <v>Приобретение новогодней гирлянды.</v>
      </c>
    </row>
    <row r="161" spans="1:14" ht="28.5" customHeight="1">
      <c r="A161" s="179" t="str">
        <f>IF(N161&gt;0,N161,0)</f>
        <v>Ремонт блока бесперебойного питания системы видеонаблюдения.</v>
      </c>
      <c r="B161" s="179"/>
      <c r="C161" s="179"/>
      <c r="D161" s="179"/>
      <c r="E161" s="179"/>
      <c r="F161" s="184">
        <f t="shared" si="15"/>
        <v>830.68</v>
      </c>
      <c r="G161" s="184"/>
      <c r="H161" s="24" t="str">
        <f t="shared" si="16"/>
        <v>разово</v>
      </c>
      <c r="I161" s="180">
        <f t="shared" si="17"/>
        <v>1</v>
      </c>
      <c r="J161" s="180"/>
      <c r="M161" s="22" t="s">
        <v>72</v>
      </c>
      <c r="N161" s="1" t="str">
        <v>Ремонт блока бесперебойного питания системы видеонаблюдения.</v>
      </c>
    </row>
    <row r="162" spans="1:14" ht="28.5" customHeight="1">
      <c r="A162" s="179" t="str">
        <f t="shared" si="14"/>
        <v>Замена блока бесперебойного питания пожарной сигнализации.</v>
      </c>
      <c r="B162" s="179"/>
      <c r="C162" s="179"/>
      <c r="D162" s="179"/>
      <c r="E162" s="179"/>
      <c r="F162" s="184">
        <f t="shared" si="15"/>
        <v>1955</v>
      </c>
      <c r="G162" s="184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72</v>
      </c>
      <c r="N162" s="1" t="str">
        <v>Замена блока бесперебойного питания пожарной сигнализации.</v>
      </c>
    </row>
    <row r="163" spans="1:14" ht="28.5" customHeight="1">
      <c r="A163" s="179" t="str">
        <f t="shared" si="14"/>
        <v>Замена камеры системы видеонаблюдения (бол.лифт).</v>
      </c>
      <c r="B163" s="179"/>
      <c r="C163" s="179"/>
      <c r="D163" s="179"/>
      <c r="E163" s="179"/>
      <c r="F163" s="184">
        <f t="shared" si="15"/>
        <v>5760</v>
      </c>
      <c r="G163" s="184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72</v>
      </c>
      <c r="N163" s="1" t="str">
        <v>Замена камеры системы видеонаблюдения (бол.лифт).</v>
      </c>
    </row>
    <row r="164" spans="1:14" ht="28.5" customHeight="1">
      <c r="A164" s="179" t="str">
        <f t="shared" ref="A164:A187" si="18">IF(N164&gt;0,N164,0)</f>
        <v>Изготовление и монтаж тамбурной двери.</v>
      </c>
      <c r="B164" s="179"/>
      <c r="C164" s="179"/>
      <c r="D164" s="179"/>
      <c r="E164" s="179"/>
      <c r="F164" s="184">
        <f t="shared" ref="F164:F187" si="19">IF(ISERROR(VLOOKUP(A164,$A$28:$J$72,6,FALSE)),0,VLOOKUP(A164,$A$28:$J$72,6,FALSE))</f>
        <v>31633</v>
      </c>
      <c r="G164" s="184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72</v>
      </c>
      <c r="N164" s="1" t="str">
        <v>Изготовление и монтаж тамбурной двери.</v>
      </c>
    </row>
    <row r="165" spans="1:14" ht="28.5" customHeight="1">
      <c r="A165" s="179" t="str">
        <f t="shared" si="18"/>
        <v>Приобретение и установка таблички по пожарной безопасности.</v>
      </c>
      <c r="B165" s="179"/>
      <c r="C165" s="179"/>
      <c r="D165" s="179"/>
      <c r="E165" s="179"/>
      <c r="F165" s="184">
        <f t="shared" si="19"/>
        <v>250</v>
      </c>
      <c r="G165" s="184"/>
      <c r="H165" s="29" t="str">
        <f t="shared" si="16"/>
        <v>разово</v>
      </c>
      <c r="I165" s="180">
        <f t="shared" si="20"/>
        <v>1</v>
      </c>
      <c r="J165" s="180"/>
      <c r="M165" s="22" t="s">
        <v>72</v>
      </c>
      <c r="N165" s="1" t="str">
        <v>Приобретение и установка таблички по пожарной безопасности.</v>
      </c>
    </row>
    <row r="166" spans="1:14" ht="28.5" customHeight="1">
      <c r="A166" s="179" t="str">
        <f t="shared" si="18"/>
        <v>Благоустройство придомовой территории (приобретение чернозема).</v>
      </c>
      <c r="B166" s="179"/>
      <c r="C166" s="179"/>
      <c r="D166" s="179"/>
      <c r="E166" s="179"/>
      <c r="F166" s="184">
        <f t="shared" si="19"/>
        <v>4500</v>
      </c>
      <c r="G166" s="184"/>
      <c r="H166" s="29" t="str">
        <f t="shared" si="16"/>
        <v>разово</v>
      </c>
      <c r="I166" s="180">
        <f t="shared" si="20"/>
        <v>1</v>
      </c>
      <c r="J166" s="180"/>
      <c r="M166" s="22" t="s">
        <v>72</v>
      </c>
      <c r="N166" s="1" t="str">
        <v>Благоустройство придомовой территории (приобретение чернозема).</v>
      </c>
    </row>
    <row r="167" spans="1:14" ht="28.5" customHeight="1">
      <c r="A167" s="179" t="str">
        <f t="shared" si="18"/>
        <v>Ремонт прибора учета тепловой энергии.</v>
      </c>
      <c r="B167" s="179"/>
      <c r="C167" s="179"/>
      <c r="D167" s="179"/>
      <c r="E167" s="179"/>
      <c r="F167" s="184">
        <f t="shared" si="19"/>
        <v>2438.6666666666665</v>
      </c>
      <c r="G167" s="184"/>
      <c r="H167" s="29" t="str">
        <f t="shared" si="16"/>
        <v>разово</v>
      </c>
      <c r="I167" s="180">
        <f t="shared" si="20"/>
        <v>1</v>
      </c>
      <c r="J167" s="180"/>
      <c r="M167" s="22" t="s">
        <v>72</v>
      </c>
      <c r="N167" s="1" t="str">
        <v>Ремонт прибора учета тепловой энергии.</v>
      </c>
    </row>
    <row r="168" spans="1:14" ht="28.5" customHeight="1">
      <c r="A168" s="179" t="str">
        <f t="shared" si="18"/>
        <v>Ремонтно-восстановительные работы системы пожарной сигнализации.</v>
      </c>
      <c r="B168" s="179"/>
      <c r="C168" s="179"/>
      <c r="D168" s="179"/>
      <c r="E168" s="179"/>
      <c r="F168" s="184">
        <f t="shared" si="19"/>
        <v>6280.64</v>
      </c>
      <c r="G168" s="184"/>
      <c r="H168" s="29" t="str">
        <f t="shared" si="16"/>
        <v>разово</v>
      </c>
      <c r="I168" s="180">
        <f t="shared" si="20"/>
        <v>1</v>
      </c>
      <c r="J168" s="180"/>
      <c r="M168" s="22" t="s">
        <v>72</v>
      </c>
      <c r="N168" s="1" t="str">
        <v>Ремонтно-восстановительные работы системы пожарной сигнализации.</v>
      </c>
    </row>
    <row r="169" spans="1:14" ht="28.5" customHeight="1">
      <c r="A169" s="179" t="str">
        <f t="shared" si="18"/>
        <v>Ремонт и укладка плитки на крыльцо.</v>
      </c>
      <c r="B169" s="179"/>
      <c r="C169" s="179"/>
      <c r="D169" s="179"/>
      <c r="E169" s="179"/>
      <c r="F169" s="184">
        <f t="shared" si="19"/>
        <v>171920</v>
      </c>
      <c r="G169" s="184"/>
      <c r="H169" s="29" t="str">
        <f t="shared" si="16"/>
        <v>разово</v>
      </c>
      <c r="I169" s="180">
        <f t="shared" si="20"/>
        <v>1</v>
      </c>
      <c r="J169" s="180"/>
      <c r="M169" s="22" t="s">
        <v>72</v>
      </c>
      <c r="N169" s="1" t="str">
        <v>Ремонт и укладка плитки на крыльцо.</v>
      </c>
    </row>
    <row r="170" spans="1:14" ht="28.5" customHeight="1">
      <c r="A170" s="179" t="str">
        <f t="shared" si="18"/>
        <v>Ремонт балкона (1 этаж).</v>
      </c>
      <c r="B170" s="179"/>
      <c r="C170" s="179"/>
      <c r="D170" s="179"/>
      <c r="E170" s="179"/>
      <c r="F170" s="184">
        <f t="shared" si="19"/>
        <v>67380</v>
      </c>
      <c r="G170" s="184"/>
      <c r="H170" s="29" t="str">
        <f t="shared" si="16"/>
        <v>разово</v>
      </c>
      <c r="I170" s="180">
        <f t="shared" si="20"/>
        <v>1</v>
      </c>
      <c r="J170" s="180"/>
      <c r="M170" s="22" t="s">
        <v>72</v>
      </c>
      <c r="N170" s="1" t="str">
        <v>Ремонт балкона (1 этаж).</v>
      </c>
    </row>
    <row r="171" spans="1:14" ht="28.5" customHeight="1">
      <c r="A171" s="179" t="str">
        <f t="shared" si="18"/>
        <v>Испытание ограждений кровли крыши.</v>
      </c>
      <c r="B171" s="179"/>
      <c r="C171" s="179"/>
      <c r="D171" s="179"/>
      <c r="E171" s="179"/>
      <c r="F171" s="184">
        <f t="shared" si="19"/>
        <v>8144</v>
      </c>
      <c r="G171" s="184"/>
      <c r="H171" s="29" t="str">
        <f t="shared" si="16"/>
        <v>разово</v>
      </c>
      <c r="I171" s="180">
        <f t="shared" si="20"/>
        <v>1</v>
      </c>
      <c r="J171" s="180"/>
      <c r="M171" s="22" t="s">
        <v>72</v>
      </c>
      <c r="N171" s="1" t="str">
        <v>Испытание ограждений кровли крыши.</v>
      </c>
    </row>
    <row r="172" spans="1:14" ht="28.5" customHeight="1">
      <c r="A172" s="179" t="str">
        <f t="shared" si="18"/>
        <v>Испытание пожарных кранов и перекатка пожарных рукавов.</v>
      </c>
      <c r="B172" s="179"/>
      <c r="C172" s="179"/>
      <c r="D172" s="179"/>
      <c r="E172" s="179"/>
      <c r="F172" s="184">
        <f t="shared" si="19"/>
        <v>10400</v>
      </c>
      <c r="G172" s="184"/>
      <c r="H172" s="29" t="str">
        <f t="shared" si="16"/>
        <v>разово</v>
      </c>
      <c r="I172" s="180">
        <f t="shared" si="20"/>
        <v>1</v>
      </c>
      <c r="J172" s="180"/>
      <c r="M172" s="22" t="s">
        <v>72</v>
      </c>
      <c r="N172" s="1" t="str">
        <v>Испытание пожарных кранов и перекатка пожарных рукавов.</v>
      </c>
    </row>
    <row r="173" spans="1:14" ht="28.5" customHeight="1">
      <c r="A173" s="179" t="str">
        <f t="shared" si="18"/>
        <v>Приобретение и установка пожарных рукавов и стволов (16 шт.)</v>
      </c>
      <c r="B173" s="179"/>
      <c r="C173" s="179"/>
      <c r="D173" s="179"/>
      <c r="E173" s="179"/>
      <c r="F173" s="184">
        <f t="shared" si="19"/>
        <v>23344</v>
      </c>
      <c r="G173" s="184"/>
      <c r="H173" s="29" t="str">
        <f t="shared" si="16"/>
        <v>разово</v>
      </c>
      <c r="I173" s="180">
        <f t="shared" si="20"/>
        <v>1</v>
      </c>
      <c r="J173" s="180"/>
      <c r="M173" s="22" t="s">
        <v>72</v>
      </c>
      <c r="N173" s="1" t="str">
        <v>Приобретение и установка пожарных рукавов и стволов (16 шт.)</v>
      </c>
    </row>
    <row r="174" spans="1:14" ht="28.5" hidden="1" customHeight="1">
      <c r="A174" s="179">
        <f t="shared" si="18"/>
        <v>0</v>
      </c>
      <c r="B174" s="179"/>
      <c r="C174" s="179"/>
      <c r="D174" s="179"/>
      <c r="E174" s="179"/>
      <c r="F174" s="184">
        <f t="shared" si="19"/>
        <v>0</v>
      </c>
      <c r="G174" s="184"/>
      <c r="H174" s="29" t="e">
        <f t="shared" si="16"/>
        <v>#N/A</v>
      </c>
      <c r="I174" s="180" t="e">
        <f t="shared" si="20"/>
        <v>#N/A</v>
      </c>
      <c r="J174" s="180"/>
      <c r="M174" s="22" t="s">
        <v>72</v>
      </c>
      <c r="N174" s="1">
        <v>0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4">
        <f t="shared" si="19"/>
        <v>0</v>
      </c>
      <c r="G175" s="184"/>
      <c r="H175" s="29" t="e">
        <f t="shared" si="16"/>
        <v>#N/A</v>
      </c>
      <c r="I175" s="180" t="e">
        <f t="shared" si="20"/>
        <v>#N/A</v>
      </c>
      <c r="J175" s="180"/>
      <c r="M175" s="22" t="s">
        <v>72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4">
        <f t="shared" si="19"/>
        <v>0</v>
      </c>
      <c r="G176" s="184"/>
      <c r="H176" s="29" t="e">
        <f t="shared" si="16"/>
        <v>#N/A</v>
      </c>
      <c r="I176" s="180" t="e">
        <f t="shared" si="20"/>
        <v>#N/A</v>
      </c>
      <c r="J176" s="180"/>
      <c r="M176" s="22" t="s">
        <v>72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4">
        <f t="shared" si="19"/>
        <v>0</v>
      </c>
      <c r="G177" s="184"/>
      <c r="H177" s="29" t="e">
        <f t="shared" si="16"/>
        <v>#N/A</v>
      </c>
      <c r="I177" s="180" t="e">
        <f t="shared" si="20"/>
        <v>#N/A</v>
      </c>
      <c r="J177" s="180"/>
      <c r="M177" s="22" t="s">
        <v>72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4">
        <f t="shared" si="19"/>
        <v>0</v>
      </c>
      <c r="G178" s="184"/>
      <c r="H178" s="29" t="e">
        <f t="shared" si="16"/>
        <v>#N/A</v>
      </c>
      <c r="I178" s="180" t="e">
        <f t="shared" si="20"/>
        <v>#N/A</v>
      </c>
      <c r="J178" s="180"/>
      <c r="M178" s="22" t="s">
        <v>72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4">
        <f t="shared" si="19"/>
        <v>0</v>
      </c>
      <c r="G179" s="184"/>
      <c r="H179" s="29" t="e">
        <f t="shared" si="16"/>
        <v>#N/A</v>
      </c>
      <c r="I179" s="180" t="e">
        <f t="shared" si="20"/>
        <v>#N/A</v>
      </c>
      <c r="J179" s="180"/>
      <c r="M179" s="22" t="s">
        <v>72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4">
        <f t="shared" si="19"/>
        <v>0</v>
      </c>
      <c r="G180" s="184"/>
      <c r="H180" s="29" t="e">
        <f t="shared" si="16"/>
        <v>#N/A</v>
      </c>
      <c r="I180" s="180" t="e">
        <f t="shared" si="20"/>
        <v>#N/A</v>
      </c>
      <c r="J180" s="180"/>
      <c r="M180" s="22" t="s">
        <v>72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4">
        <f t="shared" si="19"/>
        <v>0</v>
      </c>
      <c r="G181" s="184"/>
      <c r="H181" s="29" t="e">
        <f t="shared" si="16"/>
        <v>#N/A</v>
      </c>
      <c r="I181" s="180" t="e">
        <f t="shared" si="20"/>
        <v>#N/A</v>
      </c>
      <c r="J181" s="180"/>
      <c r="M181" s="22" t="s">
        <v>72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4">
        <f t="shared" si="19"/>
        <v>0</v>
      </c>
      <c r="G182" s="184"/>
      <c r="H182" s="29" t="e">
        <f t="shared" si="16"/>
        <v>#N/A</v>
      </c>
      <c r="I182" s="180" t="e">
        <f t="shared" si="20"/>
        <v>#N/A</v>
      </c>
      <c r="J182" s="180"/>
      <c r="M182" s="22" t="s">
        <v>72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4">
        <f t="shared" si="19"/>
        <v>0</v>
      </c>
      <c r="G183" s="184"/>
      <c r="H183" s="29" t="e">
        <f t="shared" si="16"/>
        <v>#N/A</v>
      </c>
      <c r="I183" s="180" t="e">
        <f t="shared" si="20"/>
        <v>#N/A</v>
      </c>
      <c r="J183" s="180"/>
      <c r="M183" s="22" t="s">
        <v>72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4">
        <f t="shared" si="19"/>
        <v>0</v>
      </c>
      <c r="G184" s="184"/>
      <c r="H184" s="29" t="e">
        <f t="shared" si="16"/>
        <v>#N/A</v>
      </c>
      <c r="I184" s="180" t="e">
        <f t="shared" si="20"/>
        <v>#N/A</v>
      </c>
      <c r="J184" s="180"/>
      <c r="M184" s="22" t="s">
        <v>72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4">
        <f t="shared" si="19"/>
        <v>0</v>
      </c>
      <c r="G185" s="184"/>
      <c r="H185" s="29" t="e">
        <f t="shared" si="16"/>
        <v>#N/A</v>
      </c>
      <c r="I185" s="180" t="e">
        <f t="shared" si="20"/>
        <v>#N/A</v>
      </c>
      <c r="J185" s="180"/>
      <c r="M185" s="22" t="s">
        <v>72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4">
        <f t="shared" si="19"/>
        <v>0</v>
      </c>
      <c r="G186" s="184"/>
      <c r="H186" s="29" t="e">
        <f t="shared" si="16"/>
        <v>#N/A</v>
      </c>
      <c r="I186" s="180" t="e">
        <f t="shared" si="20"/>
        <v>#N/A</v>
      </c>
      <c r="J186" s="180"/>
      <c r="M186" s="22" t="s">
        <v>72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4">
        <f t="shared" si="19"/>
        <v>0</v>
      </c>
      <c r="G187" s="184"/>
      <c r="H187" s="29" t="e">
        <f t="shared" si="16"/>
        <v>#N/A</v>
      </c>
      <c r="I187" s="180" t="e">
        <f t="shared" si="20"/>
        <v>#N/A</v>
      </c>
      <c r="J187" s="180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04" t="s">
        <v>195</v>
      </c>
      <c r="B190" s="204"/>
      <c r="C190" s="204"/>
      <c r="D190" s="204"/>
      <c r="E190" s="27">
        <f>SUM(F158:G187)</f>
        <v>366659.18666666665</v>
      </c>
    </row>
    <row r="191" spans="1:14" ht="51.75" customHeight="1">
      <c r="A191" s="204" t="s">
        <v>194</v>
      </c>
      <c r="B191" s="204"/>
      <c r="C191" s="204"/>
      <c r="D191" s="204"/>
      <c r="E191" s="27">
        <f>E190+E154-E155</f>
        <v>-563549.45333333337</v>
      </c>
    </row>
    <row r="192" spans="1:14">
      <c r="A192" s="104" t="s">
        <v>174</v>
      </c>
    </row>
    <row r="193" spans="1:10" ht="62.25" customHeight="1">
      <c r="A193" s="178" t="s">
        <v>193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74</v>
      </c>
    </row>
    <row r="195" spans="1:10" ht="18.75" customHeight="1">
      <c r="A195" s="176" t="str">
        <f>ПТО!F13</f>
        <v xml:space="preserve">  -  техническое освидетельствование лифтов</v>
      </c>
      <c r="B195" s="176"/>
      <c r="C195" s="176"/>
      <c r="D195" s="176"/>
      <c r="E195" s="176"/>
      <c r="F195" s="176"/>
      <c r="G195" s="176"/>
      <c r="H195" s="49">
        <f>ПТО!G13</f>
        <v>16200</v>
      </c>
      <c r="I195" s="50" t="s">
        <v>74</v>
      </c>
    </row>
    <row r="196" spans="1:10" ht="18.75" customHeight="1">
      <c r="A196" s="176" t="str">
        <f>ПТО!F14</f>
        <v xml:space="preserve">  -  техническое обслуживание системы видеонаблюдения</v>
      </c>
      <c r="B196" s="176"/>
      <c r="C196" s="176"/>
      <c r="D196" s="176"/>
      <c r="E196" s="176"/>
      <c r="F196" s="176"/>
      <c r="G196" s="176"/>
      <c r="H196" s="49">
        <f>ПТО!G14</f>
        <v>15200</v>
      </c>
      <c r="I196" s="50" t="s">
        <v>74</v>
      </c>
    </row>
    <row r="197" spans="1:10" ht="18.75" customHeight="1">
      <c r="A197" s="176" t="str">
        <f>ПТО!F15</f>
        <v xml:space="preserve">  -  косметический ремонт подъезда и лестничного марша</v>
      </c>
      <c r="B197" s="176"/>
      <c r="C197" s="176"/>
      <c r="D197" s="176"/>
      <c r="E197" s="176"/>
      <c r="F197" s="176"/>
      <c r="G197" s="176"/>
      <c r="H197" s="49">
        <f>ПТО!G15</f>
        <v>800000</v>
      </c>
      <c r="I197" s="50" t="s">
        <v>74</v>
      </c>
    </row>
    <row r="198" spans="1:10" ht="18.75" customHeight="1">
      <c r="A198" s="176" t="str">
        <f>ПТО!F16</f>
        <v xml:space="preserve">  -  покраска металлического ограждения</v>
      </c>
      <c r="B198" s="176"/>
      <c r="C198" s="176"/>
      <c r="D198" s="176"/>
      <c r="E198" s="176"/>
      <c r="F198" s="176"/>
      <c r="G198" s="176"/>
      <c r="H198" s="49">
        <f>ПТО!G16</f>
        <v>4000</v>
      </c>
      <c r="I198" s="52" t="s">
        <v>74</v>
      </c>
    </row>
    <row r="199" spans="1:10" ht="18.75" customHeight="1">
      <c r="A199" s="176" t="str">
        <f>ПТО!F17</f>
        <v xml:space="preserve">  -  покраска (обновление) бордюров и разлиновка парковочных мест</v>
      </c>
      <c r="B199" s="176"/>
      <c r="C199" s="176"/>
      <c r="D199" s="176"/>
      <c r="E199" s="176"/>
      <c r="F199" s="176"/>
      <c r="G199" s="176"/>
      <c r="H199" s="49">
        <f>ПТО!G17</f>
        <v>9000</v>
      </c>
      <c r="I199" s="50" t="s">
        <v>74</v>
      </c>
    </row>
    <row r="200" spans="1:10">
      <c r="A200" s="176" t="str">
        <f>ПТО!F18</f>
        <v xml:space="preserve">  -  монтаж уличных светодиодных светильников за домами 1-ой  очереди 3 шт.</v>
      </c>
      <c r="B200" s="176"/>
      <c r="C200" s="176"/>
      <c r="D200" s="176"/>
      <c r="E200" s="176"/>
      <c r="F200" s="176"/>
      <c r="G200" s="176"/>
      <c r="H200" s="49">
        <f>ПТО!G18</f>
        <v>15500</v>
      </c>
      <c r="I200" s="50" t="s">
        <v>74</v>
      </c>
    </row>
    <row r="201" spans="1:10">
      <c r="A201" s="176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76"/>
      <c r="C201" s="176"/>
      <c r="D201" s="176"/>
      <c r="E201" s="176"/>
      <c r="F201" s="176"/>
      <c r="G201" s="176"/>
      <c r="H201" s="49">
        <f>ПТО!G19</f>
        <v>12000</v>
      </c>
      <c r="I201" s="50" t="s">
        <v>74</v>
      </c>
    </row>
    <row r="202" spans="1:10">
      <c r="A202" s="176" t="str">
        <f>ПТО!F20</f>
        <v xml:space="preserve">  -   ремонт асфальтного покрытия (трещины, ямы)  специализированной организацией</v>
      </c>
      <c r="B202" s="176"/>
      <c r="C202" s="176"/>
      <c r="D202" s="176"/>
      <c r="E202" s="176"/>
      <c r="F202" s="176"/>
      <c r="G202" s="176"/>
      <c r="H202" s="49">
        <f>ПТО!G20</f>
        <v>25000</v>
      </c>
      <c r="I202" s="50" t="s">
        <v>74</v>
      </c>
    </row>
    <row r="203" spans="1:10">
      <c r="A203" s="176" t="str">
        <f>ПТО!F21</f>
        <v xml:space="preserve">  -  изготовление и монтаж ограждения по периметру детской площадки</v>
      </c>
      <c r="B203" s="176"/>
      <c r="C203" s="176"/>
      <c r="D203" s="176"/>
      <c r="E203" s="176"/>
      <c r="F203" s="176"/>
      <c r="G203" s="176"/>
      <c r="H203" s="49">
        <f>ПТО!G21</f>
        <v>20000</v>
      </c>
      <c r="I203" s="50" t="s">
        <v>74</v>
      </c>
    </row>
    <row r="204" spans="1:10">
      <c r="A204" s="176" t="str">
        <f>ПТО!F22</f>
        <v xml:space="preserve">  -  побелка подвального помещения</v>
      </c>
      <c r="B204" s="176"/>
      <c r="C204" s="176"/>
      <c r="D204" s="176"/>
      <c r="E204" s="176"/>
      <c r="F204" s="176"/>
      <c r="G204" s="176"/>
      <c r="H204" s="49">
        <f>ПТО!G22</f>
        <v>5000</v>
      </c>
      <c r="I204" s="50" t="s">
        <v>74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74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74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74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74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74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74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74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74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923100</v>
      </c>
      <c r="I214" s="56" t="s">
        <v>77</v>
      </c>
    </row>
  </sheetData>
  <sheetProtection algorithmName="SHA-512" hashValue="qT1VvgbcICofsEQ7q5Q/I2WA8F2MchkXKIVDesBcIe1dEtwuW/oRo8YeYvBa3w0bvWQA8na8kGuk0xJfDxhC9Q==" saltValue="2Zz6oBCK8YcM6Cx5QWAJW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9" sqref="G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197</v>
      </c>
      <c r="G1" s="101">
        <f>-474550.64</f>
        <v>-474550.64</v>
      </c>
    </row>
    <row r="2" spans="1:12" ht="18.75" customHeight="1">
      <c r="A2" s="120" t="s">
        <v>178</v>
      </c>
      <c r="B2" s="117" t="s">
        <v>180</v>
      </c>
      <c r="C2" s="117">
        <v>12</v>
      </c>
      <c r="D2" s="119">
        <f>3800*12*0.332</f>
        <v>15139.2</v>
      </c>
      <c r="E2" t="s">
        <v>224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179</v>
      </c>
      <c r="B3" s="118" t="s">
        <v>181</v>
      </c>
      <c r="C3" s="118">
        <v>2</v>
      </c>
      <c r="D3" s="119">
        <v>16200</v>
      </c>
      <c r="E3" t="s">
        <v>225</v>
      </c>
      <c r="F3" s="30"/>
      <c r="G3" s="30"/>
      <c r="L3" s="33" t="str">
        <f t="shared" si="0"/>
        <v>ТР</v>
      </c>
    </row>
    <row r="4" spans="1:12" ht="18.75" customHeight="1">
      <c r="A4" s="147" t="s">
        <v>205</v>
      </c>
      <c r="B4" s="148" t="s">
        <v>182</v>
      </c>
      <c r="C4" s="149">
        <v>1</v>
      </c>
      <c r="D4" s="150">
        <v>484</v>
      </c>
      <c r="E4" s="151" t="s">
        <v>210</v>
      </c>
      <c r="F4" s="30"/>
      <c r="G4" s="30"/>
      <c r="L4" s="33" t="str">
        <f t="shared" si="0"/>
        <v>ТР</v>
      </c>
    </row>
    <row r="5" spans="1:12" ht="31.5" customHeight="1">
      <c r="A5" s="137" t="s">
        <v>198</v>
      </c>
      <c r="B5" s="138" t="s">
        <v>182</v>
      </c>
      <c r="C5" s="117">
        <v>1</v>
      </c>
      <c r="D5" s="119">
        <v>830.68</v>
      </c>
      <c r="E5" s="124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200</v>
      </c>
      <c r="B6" s="138" t="s">
        <v>182</v>
      </c>
      <c r="C6" s="117">
        <v>1</v>
      </c>
      <c r="D6" s="119">
        <v>1955</v>
      </c>
      <c r="E6" s="124" t="s">
        <v>201</v>
      </c>
      <c r="F6" s="44"/>
      <c r="G6" s="44"/>
      <c r="K6" s="46"/>
      <c r="L6" s="33" t="str">
        <f t="shared" si="0"/>
        <v>ТР</v>
      </c>
    </row>
    <row r="7" spans="1:12" ht="18.75" customHeight="1">
      <c r="A7" s="145" t="s">
        <v>203</v>
      </c>
      <c r="B7" s="146" t="s">
        <v>182</v>
      </c>
      <c r="C7" s="127">
        <v>1</v>
      </c>
      <c r="D7" s="129">
        <v>5760</v>
      </c>
      <c r="E7" s="124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75" t="s">
        <v>226</v>
      </c>
      <c r="B8" s="139" t="s">
        <v>182</v>
      </c>
      <c r="C8" s="127">
        <v>1</v>
      </c>
      <c r="D8" s="140">
        <v>31633</v>
      </c>
      <c r="E8" s="141" t="s">
        <v>206</v>
      </c>
      <c r="F8" s="45"/>
      <c r="G8" s="45"/>
      <c r="K8" s="43"/>
      <c r="L8" s="33" t="str">
        <f t="shared" si="0"/>
        <v>ТР</v>
      </c>
    </row>
    <row r="9" spans="1:12">
      <c r="A9" s="142" t="s">
        <v>204</v>
      </c>
      <c r="B9" s="132" t="s">
        <v>182</v>
      </c>
      <c r="C9" s="143">
        <v>1</v>
      </c>
      <c r="D9" s="144">
        <v>250</v>
      </c>
      <c r="E9" s="124" t="s">
        <v>207</v>
      </c>
      <c r="F9" s="44"/>
      <c r="G9" s="44"/>
      <c r="K9" s="43"/>
      <c r="L9" s="33" t="str">
        <f t="shared" si="0"/>
        <v>ТР</v>
      </c>
    </row>
    <row r="10" spans="1:12">
      <c r="A10" s="156" t="s">
        <v>211</v>
      </c>
      <c r="B10" s="155" t="s">
        <v>182</v>
      </c>
      <c r="C10" s="152">
        <v>1</v>
      </c>
      <c r="D10" s="153">
        <v>4500</v>
      </c>
      <c r="E10" s="154" t="s">
        <v>212</v>
      </c>
      <c r="L10" s="33" t="str">
        <f t="shared" si="0"/>
        <v>ТР</v>
      </c>
    </row>
    <row r="11" spans="1:12" ht="94.5">
      <c r="A11" s="157" t="s">
        <v>208</v>
      </c>
      <c r="B11" s="158" t="s">
        <v>182</v>
      </c>
      <c r="C11" s="159">
        <v>1</v>
      </c>
      <c r="D11" s="160">
        <f>7316/3</f>
        <v>2438.6666666666665</v>
      </c>
      <c r="E11" s="154" t="s">
        <v>213</v>
      </c>
      <c r="F11" s="111" t="s">
        <v>193</v>
      </c>
      <c r="G11" s="111"/>
      <c r="L11" s="33" t="str">
        <f t="shared" si="0"/>
        <v>ТР</v>
      </c>
    </row>
    <row r="12" spans="1:12" ht="31.5">
      <c r="A12" s="161" t="s">
        <v>202</v>
      </c>
      <c r="B12" s="162" t="s">
        <v>182</v>
      </c>
      <c r="C12" s="127">
        <v>1</v>
      </c>
      <c r="D12" s="129">
        <v>6280.64</v>
      </c>
      <c r="E12" s="154" t="s">
        <v>217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64" t="s">
        <v>214</v>
      </c>
      <c r="B13" s="165" t="s">
        <v>182</v>
      </c>
      <c r="C13" s="127">
        <v>1</v>
      </c>
      <c r="D13" s="129">
        <v>171920</v>
      </c>
      <c r="E13" s="154" t="s">
        <v>219</v>
      </c>
      <c r="F13" s="112" t="s">
        <v>185</v>
      </c>
      <c r="G13" s="113">
        <v>16200</v>
      </c>
      <c r="L13" s="33" t="str">
        <f t="shared" si="0"/>
        <v>ТР</v>
      </c>
    </row>
    <row r="14" spans="1:12" ht="31.5">
      <c r="A14" s="121" t="s">
        <v>215</v>
      </c>
      <c r="B14" s="163" t="s">
        <v>182</v>
      </c>
      <c r="C14" s="117">
        <v>1</v>
      </c>
      <c r="D14" s="119">
        <v>67380</v>
      </c>
      <c r="E14" s="154" t="s">
        <v>218</v>
      </c>
      <c r="F14" s="112" t="s">
        <v>75</v>
      </c>
      <c r="G14" s="113">
        <v>15200</v>
      </c>
      <c r="L14" s="33" t="str">
        <f t="shared" si="0"/>
        <v>ТР</v>
      </c>
    </row>
    <row r="15" spans="1:12" ht="31.5">
      <c r="A15" s="166" t="s">
        <v>216</v>
      </c>
      <c r="B15" s="167" t="s">
        <v>182</v>
      </c>
      <c r="C15" s="127">
        <v>1</v>
      </c>
      <c r="D15" s="129">
        <v>8144</v>
      </c>
      <c r="E15" s="154" t="s">
        <v>221</v>
      </c>
      <c r="F15" s="112" t="s">
        <v>227</v>
      </c>
      <c r="G15" s="113">
        <v>800000</v>
      </c>
      <c r="L15" s="33" t="str">
        <f t="shared" si="0"/>
        <v>ТР</v>
      </c>
    </row>
    <row r="16" spans="1:12" ht="31.5">
      <c r="A16" s="168" t="s">
        <v>220</v>
      </c>
      <c r="B16" s="169" t="s">
        <v>182</v>
      </c>
      <c r="C16" s="128">
        <v>1</v>
      </c>
      <c r="D16" s="129">
        <v>10400</v>
      </c>
      <c r="E16" s="125" t="s">
        <v>222</v>
      </c>
      <c r="F16" s="112" t="s">
        <v>186</v>
      </c>
      <c r="G16" s="113">
        <v>4000</v>
      </c>
      <c r="L16" s="33" t="str">
        <f t="shared" si="0"/>
        <v>ТР</v>
      </c>
    </row>
    <row r="17" spans="1:12" ht="31.5">
      <c r="A17" s="170" t="s">
        <v>228</v>
      </c>
      <c r="B17" s="171" t="s">
        <v>182</v>
      </c>
      <c r="C17" s="172">
        <v>1</v>
      </c>
      <c r="D17" s="173">
        <v>23344</v>
      </c>
      <c r="E17" s="174" t="s">
        <v>223</v>
      </c>
      <c r="F17" s="112" t="s">
        <v>187</v>
      </c>
      <c r="G17" s="113">
        <v>9000</v>
      </c>
      <c r="L17" s="33" t="str">
        <f t="shared" si="0"/>
        <v>ТР</v>
      </c>
    </row>
    <row r="18" spans="1:12" ht="47.25">
      <c r="A18" s="136"/>
      <c r="B18" s="127"/>
      <c r="C18" s="128"/>
      <c r="D18" s="129"/>
      <c r="E18" s="125"/>
      <c r="F18" s="112" t="s">
        <v>229</v>
      </c>
      <c r="G18" s="113">
        <v>15500</v>
      </c>
      <c r="L18" s="33">
        <f t="shared" si="0"/>
        <v>0</v>
      </c>
    </row>
    <row r="19" spans="1:12" ht="63">
      <c r="A19" s="136"/>
      <c r="B19" s="127"/>
      <c r="C19" s="128"/>
      <c r="D19" s="129"/>
      <c r="E19" s="125"/>
      <c r="F19" s="112" t="s">
        <v>188</v>
      </c>
      <c r="G19" s="113">
        <v>12000</v>
      </c>
      <c r="L19" s="33">
        <f t="shared" si="0"/>
        <v>0</v>
      </c>
    </row>
    <row r="20" spans="1:12" ht="47.25">
      <c r="A20" s="131"/>
      <c r="B20" s="127"/>
      <c r="C20" s="132"/>
      <c r="D20" s="129"/>
      <c r="E20" s="126"/>
      <c r="F20" s="112" t="s">
        <v>190</v>
      </c>
      <c r="G20" s="113">
        <v>25000</v>
      </c>
      <c r="L20" s="33">
        <f t="shared" si="0"/>
        <v>0</v>
      </c>
    </row>
    <row r="21" spans="1:12" ht="31.5">
      <c r="B21" s="127"/>
      <c r="C21" s="130"/>
      <c r="E21" s="126"/>
      <c r="F21" s="112" t="s">
        <v>191</v>
      </c>
      <c r="G21" s="113">
        <v>20000</v>
      </c>
      <c r="L21" s="33">
        <f t="shared" si="0"/>
        <v>0</v>
      </c>
    </row>
    <row r="22" spans="1:12" ht="15.75">
      <c r="B22" s="127"/>
      <c r="C22" s="130"/>
      <c r="E22" s="126"/>
      <c r="F22" s="112" t="s">
        <v>189</v>
      </c>
      <c r="G22" s="113">
        <v>5000</v>
      </c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 ht="15.75">
      <c r="F24" s="112"/>
      <c r="G24" s="113"/>
      <c r="L24" s="33">
        <f t="shared" si="1"/>
        <v>0</v>
      </c>
    </row>
    <row r="25" spans="1:12" ht="15.75">
      <c r="F25" s="134"/>
      <c r="G25" s="135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598734.6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598734.6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169504.8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169504.8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42831.839999999997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42831.839999999997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109357.56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109357.56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71082.600000000006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71082.600000000006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157657.68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157657.68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363615.12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363615.12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GlHsFyDNOcyIB42GndOEyvA3DxSQNpOagqjuKrnFwPIWq5pdsaqQPfo/vndQvpolhmSo181jrtoi2wTmE5ZG1A==" saltValue="etgtgzJrpfRMzNFCick8k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5" ht="15.75">
      <c r="A1" s="70"/>
      <c r="B1" s="71" t="s">
        <v>33</v>
      </c>
      <c r="E1" s="60" t="s">
        <v>183</v>
      </c>
      <c r="F1" s="60">
        <v>7594.3</v>
      </c>
    </row>
    <row r="2" spans="1:15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3">
        <v>5</v>
      </c>
      <c r="F2" s="122" t="s">
        <v>184</v>
      </c>
      <c r="G2" s="122"/>
      <c r="H2" s="122"/>
      <c r="I2" s="122"/>
      <c r="J2" s="122"/>
      <c r="K2" s="122"/>
      <c r="L2" s="122"/>
      <c r="M2" s="122"/>
      <c r="N2" s="122"/>
      <c r="O2" s="122"/>
    </row>
    <row r="3" spans="1:15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5" ht="15.75" customHeight="1">
      <c r="A4" s="70" t="s">
        <v>84</v>
      </c>
      <c r="B4" s="72" t="s">
        <v>4</v>
      </c>
      <c r="C4" s="83">
        <v>2207301.12</v>
      </c>
      <c r="D4" s="81" t="s">
        <v>60</v>
      </c>
      <c r="E4" s="61"/>
      <c r="F4" s="61"/>
      <c r="G4" s="61"/>
      <c r="H4" s="61"/>
      <c r="I4" s="61"/>
      <c r="J4" s="61"/>
    </row>
    <row r="5" spans="1:15" ht="15.75" customHeight="1">
      <c r="A5" s="70" t="s">
        <v>85</v>
      </c>
      <c r="B5" s="72" t="s">
        <v>5</v>
      </c>
      <c r="C5" s="79">
        <f>SUM(C6:C8)</f>
        <v>1961466.790000001</v>
      </c>
      <c r="D5" s="80" t="s">
        <v>59</v>
      </c>
      <c r="E5" s="61"/>
      <c r="F5" s="61"/>
      <c r="G5" s="61"/>
      <c r="H5" s="61"/>
      <c r="I5" s="61"/>
      <c r="J5" s="61"/>
    </row>
    <row r="6" spans="1:15" ht="15.75" customHeight="1">
      <c r="A6" s="70" t="s">
        <v>86</v>
      </c>
      <c r="B6" s="72" t="s">
        <v>6</v>
      </c>
      <c r="C6" s="83">
        <v>1047247.0900000009</v>
      </c>
      <c r="D6" s="81" t="s">
        <v>61</v>
      </c>
      <c r="E6" s="61"/>
      <c r="F6" s="61"/>
      <c r="G6" s="61"/>
      <c r="H6" s="61"/>
      <c r="I6" s="61"/>
      <c r="J6" s="61"/>
    </row>
    <row r="7" spans="1:15" ht="15.75" customHeight="1">
      <c r="A7" s="70" t="s">
        <v>87</v>
      </c>
      <c r="B7" s="72" t="s">
        <v>7</v>
      </c>
      <c r="C7" s="83">
        <f>F1*5*12</f>
        <v>455658</v>
      </c>
      <c r="D7" s="81" t="s">
        <v>62</v>
      </c>
      <c r="E7" s="61"/>
      <c r="F7" s="61"/>
      <c r="G7" s="61"/>
      <c r="H7" s="61"/>
      <c r="I7" s="61"/>
      <c r="J7" s="61"/>
    </row>
    <row r="8" spans="1:15" ht="15.75" customHeight="1">
      <c r="A8" s="70" t="s">
        <v>88</v>
      </c>
      <c r="B8" s="72" t="s">
        <v>8</v>
      </c>
      <c r="C8" s="83">
        <v>458561.70000000013</v>
      </c>
      <c r="D8" s="81" t="s">
        <v>63</v>
      </c>
      <c r="E8" s="61"/>
      <c r="F8" s="61"/>
      <c r="G8" s="61"/>
      <c r="H8" s="61"/>
      <c r="I8" s="61"/>
      <c r="J8" s="61"/>
    </row>
    <row r="9" spans="1:15" ht="15.75" customHeight="1">
      <c r="A9" s="70" t="s">
        <v>89</v>
      </c>
      <c r="B9" s="72" t="s">
        <v>9</v>
      </c>
      <c r="C9" s="79">
        <f>SUM(C10:C14)</f>
        <v>1901705.5200000005</v>
      </c>
      <c r="D9" s="80" t="s">
        <v>59</v>
      </c>
      <c r="E9" s="61"/>
      <c r="F9" s="61"/>
      <c r="G9" s="61"/>
      <c r="H9" s="61"/>
      <c r="I9" s="61"/>
      <c r="J9" s="61"/>
    </row>
    <row r="10" spans="1:15" ht="15.75" customHeight="1">
      <c r="A10" s="70" t="s">
        <v>90</v>
      </c>
      <c r="B10" s="72" t="s">
        <v>10</v>
      </c>
      <c r="C10" s="83">
        <v>1901705.5200000005</v>
      </c>
      <c r="D10" s="81" t="s">
        <v>64</v>
      </c>
      <c r="E10" s="61"/>
      <c r="F10" s="61"/>
      <c r="G10" s="61"/>
      <c r="H10" s="61"/>
      <c r="I10" s="61"/>
      <c r="J10" s="61"/>
    </row>
    <row r="11" spans="1:15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5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5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5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5" ht="15.75" customHeight="1">
      <c r="A15" s="70" t="s">
        <v>95</v>
      </c>
      <c r="B15" s="72" t="s">
        <v>15</v>
      </c>
      <c r="C15" s="79">
        <f>C9</f>
        <v>1901705.5200000005</v>
      </c>
      <c r="D15" s="80" t="s">
        <v>59</v>
      </c>
      <c r="E15" s="61"/>
      <c r="F15" s="61"/>
      <c r="G15" s="61"/>
      <c r="H15" s="61"/>
      <c r="I15" s="61"/>
      <c r="J15" s="61"/>
    </row>
    <row r="16" spans="1:15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2267062.3900000006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105</v>
      </c>
      <c r="B27" s="75" t="s">
        <v>4</v>
      </c>
      <c r="C27" s="86">
        <v>36803.480000000003</v>
      </c>
      <c r="D27" s="81" t="s">
        <v>60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108</v>
      </c>
      <c r="B30" s="75" t="s">
        <v>18</v>
      </c>
      <c r="C30" s="86">
        <v>11742.279999999795</v>
      </c>
      <c r="D30" s="81" t="s">
        <v>66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91837.719999999943</v>
      </c>
      <c r="F37" s="94" t="s">
        <v>167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80559.40350877188</v>
      </c>
      <c r="D38" s="94" t="s">
        <v>165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97451.12</v>
      </c>
      <c r="D39" s="94" t="s">
        <v>166</v>
      </c>
      <c r="E39" s="68"/>
      <c r="G39" s="67"/>
      <c r="H39" s="67"/>
      <c r="L39" s="63"/>
      <c r="M39" s="205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5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91837.719999999943</v>
      </c>
      <c r="D41" s="80" t="s">
        <v>59</v>
      </c>
      <c r="E41" s="68"/>
      <c r="G41" s="67"/>
      <c r="H41" s="67"/>
      <c r="L41" s="63"/>
      <c r="M41" s="205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91837.719999999943</v>
      </c>
      <c r="D42" s="80" t="s">
        <v>59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291393.27000000014</v>
      </c>
      <c r="F45" s="94" t="s">
        <v>167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21536.827050997792</v>
      </c>
      <c r="D46" s="94" t="s">
        <v>168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292288.28000000003</v>
      </c>
      <c r="D47" s="94" t="s">
        <v>166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291393.27000000014</v>
      </c>
      <c r="D49" s="80" t="s">
        <v>59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291393.27000000014</v>
      </c>
      <c r="D50" s="80" t="s">
        <v>59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335680.2800000002</v>
      </c>
      <c r="F53" s="94" t="s">
        <v>167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21755.040829552832</v>
      </c>
      <c r="D54" s="94" t="s">
        <v>168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327061.83999999997</v>
      </c>
      <c r="D55" s="94" t="s">
        <v>166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8618.4400000002352</v>
      </c>
      <c r="D56" s="80" t="s">
        <v>59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335680.2800000002</v>
      </c>
      <c r="D57" s="80" t="s">
        <v>59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335680.2800000002</v>
      </c>
      <c r="D58" s="80" t="s">
        <v>59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29390.289999999997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51.842955671976149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77720.56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29390.289999999997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29390.289999999997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2021-03-23T08:14:05Z</dcterms:modified>
</cp:coreProperties>
</file>