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1400" windowHeight="111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C7" i="3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2" i="1" l="1"/>
  <c r="A115" i="1"/>
  <c r="A110" i="1"/>
  <c r="D110" i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<sst xmlns="http://schemas.openxmlformats.org/spreadsheetml/2006/main" count="606" uniqueCount="241">
  <si>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</si>
  <si>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</si>
  <si>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</si>
  <si>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</si>
  <si>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</si>
  <si>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</si>
  <si>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</si>
  <si>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</si>
  <si>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</si>
  <si>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</si>
  <si>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</si>
  <si>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</si>
  <si>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</si>
  <si>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</si>
  <si>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</si>
  <si>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</si>
  <si>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</si>
  <si>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</si>
  <si>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</si>
  <si>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</si>
  <si>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</si>
  <si>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</si>
  <si>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</si>
  <si>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</si>
  <si>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</si>
  <si>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</si>
  <si>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</si>
  <si>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</si>
  <si>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</si>
  <si>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</si>
  <si>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</si>
  <si>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</si>
  <si>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</si>
  <si>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</si>
  <si>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</si>
  <si>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</si>
  <si>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</si>
  <si>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</si>
  <si>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</si>
  <si>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</si>
  <si>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</si>
  <si>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</si>
  <si>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</si>
  <si>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</si>
  <si>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</si>
  <si>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</si>
  <si>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</si>
  <si>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</si>
  <si>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</si>
  <si>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</si>
  <si>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</si>
  <si>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</si>
  <si>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</si>
  <si>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</si>
  <si>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</si>
  <si>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</si>
  <si>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</si>
  <si>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</si>
  <si>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</si>
  <si>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</si>
  <si>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</si>
  <si>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</si>
  <si>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</si>
  <si>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</si>
  <si>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</si>
  <si>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</si>
  <si>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</si>
  <si>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</si>
  <si>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</si>
  <si>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</si>
  <si>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</si>
  <si>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</si>
  <si>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</si>
  <si>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</si>
  <si>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</si>
  <si>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</si>
  <si>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</si>
  <si>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</si>
  <si>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</si>
  <si>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</si>
  <si>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</si>
  <si>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</si>
  <si>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</si>
  <si>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</si>
  <si>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</si>
  <si>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</si>
  <si>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</si>
  <si>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</si>
  <si>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</si>
  <si>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</si>
  <si>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</si>
  <si>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</si>
  <si>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</si>
  <si>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</si>
  <si>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</si>
  <si>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</si>
  <si>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</si>
  <si>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</si>
  <si>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</si>
  <si>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</si>
  <si>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</si>
  <si>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</si>
  <si>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</si>
  <si>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</si>
  <si>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</si>
  <si>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</si>
  <si>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</si>
  <si>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</si>
  <si>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</si>
  <si>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</si>
  <si>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</si>
  <si>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</si>
  <si>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</si>
  <si>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</si>
  <si>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</si>
  <si>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</si>
  <si>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</si>
  <si>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</si>
  <si>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</si>
  <si>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</si>
  <si>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</si>
  <si>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</si>
  <si>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</si>
  <si>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</si>
  <si>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</si>
  <si>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</si>
  <si>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</si>
  <si>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</si>
  <si>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</si>
  <si>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</si>
  <si>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</si>
  <si>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</si>
  <si>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</si>
  <si>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</si>
  <si>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</si>
  <si>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</si>
  <si>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</si>
  <si>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</si>
  <si>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</si>
  <si>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</si>
  <si>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</si>
  <si>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</si>
  <si>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</si>
  <si>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</si>
  <si>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</si>
  <si>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</si>
  <si>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</si>
  <si>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</si>
  <si>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</si>
  <si>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</si>
  <si>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</si>
  <si>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</si>
  <si>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</si>
  <si>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</si>
  <si>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</si>
  <si>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</si>
  <si>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</si>
  <si>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</si>
  <si>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</si>
  <si>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</si>
  <si>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</si>
  <si>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</si>
  <si>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</si>
  <si>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</si>
  <si>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</si>
  <si>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</si>
  <si>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</si>
  <si>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</si>
  <si>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</si>
  <si>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</si>
  <si>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</si>
  <si>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</si>
  <si>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</si>
  <si>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</si>
  <si>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</si>
  <si>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</si>
  <si>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</si>
  <si>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</si>
  <si>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разово</t>
  </si>
  <si>
    <t>5руб.</t>
  </si>
  <si>
    <t>с 01.06.2019</t>
  </si>
  <si>
    <t>площадь дома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</si>
  <si>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</si>
  <si>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</si>
  <si>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</si>
  <si>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</si>
  <si>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>Ремонт шлагбаума.</t>
  </si>
  <si>
    <t>Техническое освидетельствование лифтов.</t>
  </si>
  <si>
    <t>АВР 1/21 от 19.01.21, Решение, счет №7 от 12.01.2021</t>
  </si>
  <si>
    <t>ежегодно</t>
  </si>
  <si>
    <t>Перерасход (+) или экономия 
(-) средств в 2020 году (руб.)</t>
  </si>
  <si>
    <t>Начислено за  текущий ремонт в 2021 году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</si>
  <si>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</si>
  <si>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</si>
  <si>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</si>
  <si>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Приобретение и монтаж штапиков под заполнение алюминиевых дверей.</t>
  </si>
  <si>
    <t>Регулировка шлагбаума (замена фотоэлементов).</t>
  </si>
  <si>
    <t>Замена пожарного дымового извещателя ИПД-3.1м)</t>
  </si>
  <si>
    <t>АВР 3/21 от 12.04.2021</t>
  </si>
  <si>
    <t>Подключение шлагбаума к системе пожарной безопасности.</t>
  </si>
  <si>
    <t>АВР 5/21 от 16.08.2021, счет №316 от 31.05.21, Решение</t>
  </si>
  <si>
    <t>Благоустройство придомовой территории (приобретение вазонов 4 шт.).</t>
  </si>
  <si>
    <t>Испытание пожарных кранов (31 шт.).</t>
  </si>
  <si>
    <t>Замена датчика давления на узле учета тепловой энергии.</t>
  </si>
  <si>
    <t>Ремонт шлагбаума (пусконаладочные работы).</t>
  </si>
  <si>
    <t>АВР 10/21 от 29.11.2021, Решение, счет №67 от 25.11.2021</t>
  </si>
  <si>
    <t>АВР 15/21 от 08.12.2021</t>
  </si>
  <si>
    <t>АВР 14/21 от 08.12.2021</t>
  </si>
  <si>
    <t>АВР 2/21 от 08.12.2021, Решение, счет №5 от 04.02.2021</t>
  </si>
  <si>
    <t>АВР 4/21 от 08.12.2021, счет №126 от 16.04.2021</t>
  </si>
  <si>
    <t>Замена фильтра на подающем трубопроводе ГВС.</t>
  </si>
  <si>
    <t>АВР 6/21 от 08.12.2021</t>
  </si>
  <si>
    <t>АВР 7/21 от 08.12.2021, Решение, счет №17 от 20.09.2021</t>
  </si>
  <si>
    <t>Приобретение и монтаж ковровой дорожки (вход в лифтовой холл, 3,8 п/м.).</t>
  </si>
  <si>
    <t>АВР 8/21 от 08.12.2021</t>
  </si>
  <si>
    <t>АВР 9/21 от 08.12.2021, Решение, счет №582 09.09.2021</t>
  </si>
  <si>
    <t>АВР 11/12 от 08.12.2021, Решение, счет №61 от 01.10.2021</t>
  </si>
  <si>
    <t>Замена прибора учета на систему ГВС.</t>
  </si>
  <si>
    <t>АВР 12/21 от 08.12.2021</t>
  </si>
  <si>
    <t>АВР 13/21 от 08.12.2021, Решение, счет №1589 от 08.07.2021</t>
  </si>
  <si>
    <t>Замена аккумуляторов и бесперебойников системы пожарной безопасности.</t>
  </si>
  <si>
    <t>Изготовление и монтаж алюминиевой двери на лестничном марше.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</si>
  <si>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</si>
  <si>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</si>
  <si>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</si>
  <si>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</si>
  <si>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</si>
  <si>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</si>
  <si>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</si>
  <si>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</si>
  <si>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Механизированная уборка  и вывоз снега с придомовой территории.</t>
  </si>
  <si>
    <t>72011.92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</si>
  <si>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</si>
  <si>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</si>
  <si>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входной металлической двери 1 шт.</t>
  </si>
  <si>
    <t xml:space="preserve">  -  изготовление и монтаж пластиковых входных дверей 1 шт.</t>
  </si>
  <si>
    <t xml:space="preserve">  -  ремонт элементов детской площадки</t>
  </si>
  <si>
    <t>АВР 16/21 от 08.12.2021</t>
  </si>
  <si>
    <t xml:space="preserve">АВР 17/21 от 10.12.2021, счет №478 от 01.12.2021 </t>
  </si>
  <si>
    <t xml:space="preserve">  -  оборудование комнаты уборщицы смесителем</t>
  </si>
  <si>
    <t xml:space="preserve">  -  косметический ремонт фасада МКД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</si>
</sst>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0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1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0" fontId="19" fillId="0" borderId="0" xfId="4" applyFill="1" applyBorder="1" applyAlignment="1">
      <alignment horizontal="center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18" fillId="0" borderId="0" xfId="5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6" fillId="0" borderId="0" xfId="2" applyFont="1" applyFill="1" applyBorder="1" applyAlignment="1"/>
    <xf numFmtId="0" fontId="16" fillId="0" borderId="0" xfId="10" applyFont="1" applyFill="1"/>
    <xf numFmtId="0" fontId="16" fillId="0" borderId="0" xfId="4" applyFont="1" applyFill="1" applyBorder="1" applyAlignment="1">
      <alignment horizontal="center"/>
    </xf>
    <xf numFmtId="0" fontId="13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0" fontId="13" fillId="0" borderId="0" xfId="10" applyFont="1" applyFill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1" fillId="0" borderId="0" xfId="10" applyFont="1" applyFill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6" fillId="0" borderId="0" xfId="10" applyFont="1" applyFill="1"/>
    <xf numFmtId="4" fontId="32" fillId="0" borderId="0" xfId="12" applyNumberFormat="1" applyFont="1" applyFill="1" applyBorder="1" applyAlignment="1"/>
    <xf numFmtId="0" fontId="8" fillId="0" borderId="0" xfId="5" applyFont="1" applyFill="1" applyBorder="1" applyAlignment="1"/>
    <xf numFmtId="0" fontId="8" fillId="0" borderId="0" xfId="12" applyFont="1" applyFill="1" applyBorder="1" applyAlignment="1">
      <alignment horizontal="center"/>
    </xf>
    <xf numFmtId="0" fontId="17" fillId="0" borderId="0" xfId="12" applyFill="1" applyBorder="1" applyAlignment="1">
      <alignment horizontal="center"/>
    </xf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5" fillId="0" borderId="0" xfId="10" applyFont="1" applyFill="1"/>
    <xf numFmtId="0" fontId="9" fillId="0" borderId="0" xfId="5" applyFont="1" applyFill="1" applyBorder="1" applyAlignment="1">
      <alignment horizontal="center"/>
    </xf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7" fillId="0" borderId="0" xfId="13" applyFill="1" applyBorder="1" applyAlignment="1"/>
    <xf numFmtId="0" fontId="17" fillId="0" borderId="0" xfId="13" applyFont="1" applyFill="1" applyBorder="1" applyAlignment="1">
      <alignment horizontal="center"/>
    </xf>
    <xf numFmtId="0" fontId="17" fillId="0" borderId="0" xfId="13" applyFill="1" applyBorder="1" applyAlignment="1">
      <alignment horizontal="center"/>
    </xf>
    <xf numFmtId="4" fontId="32" fillId="0" borderId="0" xfId="13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4" fillId="0" borderId="0" xfId="4" applyFont="1" applyFill="1" applyBorder="1" applyAlignment="1"/>
    <xf numFmtId="0" fontId="4" fillId="0" borderId="0" xfId="5" applyFont="1" applyFill="1" applyBorder="1" applyAlignment="1"/>
    <xf numFmtId="0" fontId="4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4" fillId="3" borderId="0" xfId="14" applyNumberFormat="1" applyFont="1" applyFill="1" applyBorder="1" applyAlignment="1">
      <alignment horizontal="left" vertical="center" wrapText="1"/>
    </xf>
    <xf numFmtId="4" fontId="42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8" applyFont="1" applyFill="1" applyBorder="1" applyAlignment="1"/>
    <xf numFmtId="0" fontId="2" fillId="0" borderId="0" xfId="48" applyFont="1" applyFill="1" applyBorder="1" applyAlignment="1">
      <alignment horizontal="center"/>
    </xf>
    <xf numFmtId="0" fontId="2" fillId="0" borderId="0" xfId="48" applyFill="1" applyBorder="1" applyAlignment="1">
      <alignment horizontal="center"/>
    </xf>
    <xf numFmtId="4" fontId="32" fillId="0" borderId="0" xfId="48" applyNumberFormat="1" applyFont="1" applyFill="1" applyBorder="1" applyAlignment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1" fillId="0" borderId="0" xfId="10" applyFont="1" applyFill="1"/>
    <xf numFmtId="2" fontId="0" fillId="0" borderId="0" xfId="0" applyNumberFormat="1" applyFill="1" applyBorder="1"/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50">
    <cellStyle name="Обычный" xfId="0" builtinId="0"/>
    <cellStyle name="Обычный 2" xfId="1"/>
    <cellStyle name="Обычный 2 2" xfId="3"/>
    <cellStyle name="Обычный 2 3" xfId="10"/>
    <cellStyle name="Обычный 2 3 2" xfId="35"/>
    <cellStyle name="Обычный 2 3 3" xfId="45"/>
    <cellStyle name="Обычный 2 3 4" xfId="19"/>
    <cellStyle name="Обычный 2 4" xfId="6"/>
    <cellStyle name="Обычный 2 4 2" xfId="31"/>
    <cellStyle name="Обычный 2 4 3" xfId="23"/>
    <cellStyle name="Обычный 2 5" xfId="27"/>
    <cellStyle name="Обычный 2 5 2" xfId="14"/>
    <cellStyle name="Обычный 2 5 2 2" xfId="49"/>
    <cellStyle name="Обычный 2 6" xfId="39"/>
    <cellStyle name="Обычный 2 7" xfId="15"/>
    <cellStyle name="Обычный 3" xfId="2"/>
    <cellStyle name="Обычный 3 2" xfId="11"/>
    <cellStyle name="Обычный 3 2 2" xfId="36"/>
    <cellStyle name="Обычный 3 2 3" xfId="20"/>
    <cellStyle name="Обычный 3 3" xfId="7"/>
    <cellStyle name="Обычный 3 3 2" xfId="32"/>
    <cellStyle name="Обычный 3 3 3" xfId="24"/>
    <cellStyle name="Обычный 3 4" xfId="28"/>
    <cellStyle name="Обычный 3 5" xfId="40"/>
    <cellStyle name="Обычный 3 6" xfId="16"/>
    <cellStyle name="Обычный 4" xfId="4"/>
    <cellStyle name="Обычный 4 2" xfId="12"/>
    <cellStyle name="Обычный 4 2 2" xfId="37"/>
    <cellStyle name="Обычный 4 2 3" xfId="48"/>
    <cellStyle name="Обычный 4 2 4" xfId="43"/>
    <cellStyle name="Обычный 4 2 5" xfId="47"/>
    <cellStyle name="Обычный 4 2 6" xfId="21"/>
    <cellStyle name="Обычный 4 3" xfId="8"/>
    <cellStyle name="Обычный 4 3 2" xfId="33"/>
    <cellStyle name="Обычный 4 3 3" xfId="25"/>
    <cellStyle name="Обычный 4 4" xfId="29"/>
    <cellStyle name="Обычный 4 5" xfId="41"/>
    <cellStyle name="Обычный 4 6" xfId="17"/>
    <cellStyle name="Обычный 5" xfId="5"/>
    <cellStyle name="Обычный 5 2" xfId="13"/>
    <cellStyle name="Обычный 5 2 2" xfId="38"/>
    <cellStyle name="Обычный 5 2 3" xfId="22"/>
    <cellStyle name="Обычный 5 3" xfId="9"/>
    <cellStyle name="Обычный 5 3 2" xfId="34"/>
    <cellStyle name="Обычный 5 3 3" xfId="44"/>
    <cellStyle name="Обычный 5 3 4" xfId="26"/>
    <cellStyle name="Обычный 5 4" xfId="30"/>
    <cellStyle name="Обычный 5 5" xfId="42"/>
    <cellStyle name="Обычный 5 6" xfId="46"/>
    <cellStyle name="Обычный 5 7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87" t="s">
        <v>177</v>
      </c>
      <c r="B2" s="187"/>
      <c r="C2" s="187"/>
      <c r="D2" s="187"/>
      <c r="E2" s="187"/>
      <c r="F2" s="187"/>
      <c r="G2" s="187"/>
      <c r="H2" s="187"/>
      <c r="I2" s="187"/>
      <c r="J2" s="18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44197</v>
      </c>
      <c r="K4" s="110"/>
      <c r="L4" s="110"/>
      <c r="M4" s="110"/>
      <c r="N4" s="110"/>
    </row>
    <row r="5" spans="1:18">
      <c r="A5" s="1" t="s">
        <v>1</v>
      </c>
      <c r="E5" s="115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10"/>
      <c r="L8" s="188"/>
      <c r="M8" s="110"/>
      <c r="N8" s="110"/>
      <c r="O8" s="71" t="s">
        <v>82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10"/>
      <c r="L9" s="188"/>
      <c r="M9" s="110"/>
      <c r="N9" s="110"/>
      <c r="O9" s="71" t="s">
        <v>83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533333.17000000004</v>
      </c>
      <c r="K10" s="110"/>
      <c r="L10" s="188"/>
      <c r="M10" s="110"/>
      <c r="N10" s="110"/>
      <c r="O10" s="71" t="s">
        <v>84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1053822.32</v>
      </c>
      <c r="K11" s="110"/>
      <c r="L11" s="188"/>
      <c r="M11" s="110"/>
      <c r="N11" s="110"/>
      <c r="O11" s="71" t="s">
        <v>85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574046.12</v>
      </c>
      <c r="K12" s="110"/>
      <c r="L12" s="188"/>
      <c r="M12" s="110"/>
      <c r="N12" s="110"/>
      <c r="O12" s="71" t="s">
        <v>86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238620</v>
      </c>
      <c r="K13" s="110"/>
      <c r="L13" s="188"/>
      <c r="M13" s="110"/>
      <c r="N13" s="110"/>
      <c r="O13" s="71" t="s">
        <v>87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241156.2</v>
      </c>
      <c r="K14" s="110"/>
      <c r="L14" s="188"/>
      <c r="M14" s="110"/>
      <c r="N14" s="110"/>
      <c r="O14" s="71" t="s">
        <v>88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1059210.18</v>
      </c>
      <c r="K15" s="110"/>
      <c r="L15" s="188"/>
      <c r="M15" s="110"/>
      <c r="N15" s="110"/>
      <c r="O15" s="71" t="s">
        <v>89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1059210.18</v>
      </c>
      <c r="K16" s="110"/>
      <c r="L16" s="188"/>
      <c r="M16" s="110"/>
      <c r="N16" s="110"/>
      <c r="O16" s="71" t="s">
        <v>90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10"/>
      <c r="L17" s="188"/>
      <c r="M17" s="110"/>
      <c r="N17" s="110"/>
      <c r="O17" s="71" t="s">
        <v>91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10"/>
      <c r="L18" s="188"/>
      <c r="M18" s="110"/>
      <c r="N18" s="110"/>
      <c r="O18" s="71" t="s">
        <v>92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10"/>
      <c r="L19" s="188"/>
      <c r="M19" s="110"/>
      <c r="N19" s="110"/>
      <c r="O19" s="71" t="s">
        <v>93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10"/>
      <c r="L20" s="188"/>
      <c r="M20" s="110"/>
      <c r="N20" s="110"/>
      <c r="O20" s="71" t="s">
        <v>94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1059210.18</v>
      </c>
      <c r="K21" s="110"/>
      <c r="L21" s="188"/>
      <c r="M21" s="110"/>
      <c r="N21" s="110"/>
      <c r="O21" s="71" t="s">
        <v>95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10"/>
      <c r="L22" s="188"/>
      <c r="M22" s="110"/>
      <c r="N22" s="110"/>
      <c r="O22" s="71" t="s">
        <v>96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10"/>
      <c r="L23" s="188"/>
      <c r="M23" s="110"/>
      <c r="N23" s="110"/>
      <c r="O23" s="71" t="s">
        <v>97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527945.31000000029</v>
      </c>
      <c r="K24" s="110"/>
      <c r="L24" s="188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10"/>
      <c r="L27" s="18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163689.24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10"/>
      <c r="L28" s="18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85901.040000000008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10"/>
      <c r="L29" s="189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7">
        <f>VLOOKUP(A30,ПТО!$A$39:$D$53,2,FALSE)</f>
        <v>97831.799999999988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10"/>
      <c r="L30" s="18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56312.88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10"/>
      <c r="L31" s="18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10"/>
      <c r="L32" s="18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23861.4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10"/>
      <c r="L33" s="18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97831.799999999988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10"/>
      <c r="L34" s="18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2" t="str">
        <f>ПТО!A46</f>
        <v>Работы по обеспечению пожарной безопасности</v>
      </c>
      <c r="B35" s="172"/>
      <c r="C35" s="172"/>
      <c r="D35" s="172"/>
      <c r="E35" s="172"/>
      <c r="F35" s="177">
        <f>VLOOKUP(A35,ПТО!$A$39:$D$53,2,FALSE)</f>
        <v>50109</v>
      </c>
      <c r="G35" s="177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10"/>
      <c r="L35" s="189"/>
      <c r="M35" s="114"/>
      <c r="N35" s="110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customHeight="1" outlineLevel="1">
      <c r="A36" s="172" t="str">
        <f>ПТО!A47</f>
        <v>Коммунальные ресурсы на содержание общего имущества</v>
      </c>
      <c r="B36" s="172"/>
      <c r="C36" s="172"/>
      <c r="D36" s="172"/>
      <c r="E36" s="172"/>
      <c r="F36" s="177">
        <f>VLOOKUP(A36,ПТО!$A$39:$D$53,2,FALSE)</f>
        <v>79682.287949999984</v>
      </c>
      <c r="G36" s="177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10"/>
      <c r="L36" s="189"/>
      <c r="M36" s="114"/>
      <c r="N36" s="110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10"/>
      <c r="L37" s="189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10"/>
      <c r="L38" s="189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10"/>
      <c r="L39" s="189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10"/>
      <c r="L40" s="189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10"/>
      <c r="L41" s="189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10"/>
      <c r="L42" s="189"/>
      <c r="M42" s="114"/>
      <c r="N42" s="110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обслуживание охранной сигнализации.</v>
      </c>
      <c r="B43" s="172"/>
      <c r="C43" s="172"/>
      <c r="D43" s="172"/>
      <c r="E43" s="172"/>
      <c r="F43" s="177">
        <f>VLOOKUP(A43,ПТО!$A$2:$D$31,4,FALSE)</f>
        <v>10800</v>
      </c>
      <c r="G43" s="177"/>
      <c r="H43" s="19" t="str">
        <f>VLOOKUP(A43,ПТО!$A$2:$D$31,2,FALSE)</f>
        <v>ежемесячно</v>
      </c>
      <c r="I43" s="173">
        <f>VLOOKUP(A43,ПТО!$A$2:$D$31,3,FALSE)</f>
        <v>12</v>
      </c>
      <c r="J43" s="173"/>
      <c r="K43" s="110"/>
      <c r="L43" s="189"/>
      <c r="M43" s="114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72" t="str">
        <f>ПТО!A3</f>
        <v>Техническое освидетельствование лифтов.</v>
      </c>
      <c r="B44" s="172"/>
      <c r="C44" s="172"/>
      <c r="D44" s="172"/>
      <c r="E44" s="172"/>
      <c r="F44" s="177">
        <f>VLOOKUP(A44,ПТО!$A$2:$D$31,4,FALSE)</f>
        <v>16200</v>
      </c>
      <c r="G44" s="177"/>
      <c r="H44" s="25" t="str">
        <f>VLOOKUP(A44,ПТО!$A$2:$D$31,2,FALSE)</f>
        <v>ежегодно</v>
      </c>
      <c r="I44" s="173">
        <f>VLOOKUP(A44,ПТО!$A$2:$D$31,3,FALSE)</f>
        <v>1</v>
      </c>
      <c r="J44" s="173"/>
      <c r="K44" s="110"/>
      <c r="L44" s="189"/>
      <c r="M44" s="114"/>
      <c r="N44" s="110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2" t="str">
        <f>ПТО!A4</f>
        <v>Ремонт шлагбаума.</v>
      </c>
      <c r="B45" s="172"/>
      <c r="C45" s="172"/>
      <c r="D45" s="172"/>
      <c r="E45" s="172"/>
      <c r="F45" s="177">
        <f>VLOOKUP(A45,ПТО!$A$2:$D$31,4,FALSE)</f>
        <v>1800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10"/>
      <c r="L45" s="189"/>
      <c r="M45" s="114"/>
      <c r="N45" s="110"/>
      <c r="O45" s="23" t="str">
        <f t="shared" si="1"/>
        <v>Ремонт шлагбаума.</v>
      </c>
      <c r="R45" s="22" t="s">
        <v>72</v>
      </c>
    </row>
    <row r="46" spans="1:18" ht="51" customHeight="1" outlineLevel="1">
      <c r="A46" s="172" t="str">
        <f>ПТО!A5</f>
        <v>Приобретение и монтаж штапиков под заполнение алюминиевых дверей.</v>
      </c>
      <c r="B46" s="172"/>
      <c r="C46" s="172"/>
      <c r="D46" s="172"/>
      <c r="E46" s="172"/>
      <c r="F46" s="177">
        <f>VLOOKUP(A46,ПТО!$A$2:$D$31,4,FALSE)</f>
        <v>13712.36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10"/>
      <c r="L46" s="189"/>
      <c r="M46" s="114"/>
      <c r="N46" s="110"/>
      <c r="O46" s="23" t="str">
        <f t="shared" si="1"/>
        <v>Приобретение и монтаж штапиков под заполнение алюминиевых дверей.</v>
      </c>
      <c r="R46" s="22" t="s">
        <v>72</v>
      </c>
    </row>
    <row r="47" spans="1:18" ht="51" customHeight="1" outlineLevel="1">
      <c r="A47" s="172" t="str">
        <f>ПТО!A6</f>
        <v>Замена пожарного дымового извещателя ИПД-3.1м)</v>
      </c>
      <c r="B47" s="172"/>
      <c r="C47" s="172"/>
      <c r="D47" s="172"/>
      <c r="E47" s="172"/>
      <c r="F47" s="177">
        <f>VLOOKUP(A47,ПТО!$A$2:$D$31,4,FALSE)</f>
        <v>400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10"/>
      <c r="L47" s="189"/>
      <c r="M47" s="114"/>
      <c r="N47" s="110"/>
      <c r="O47" s="23" t="str">
        <f t="shared" si="1"/>
        <v>Замена пожарного дымового извещателя ИПД-3.1м)</v>
      </c>
      <c r="R47" s="22" t="s">
        <v>72</v>
      </c>
    </row>
    <row r="48" spans="1:18" ht="51" customHeight="1" outlineLevel="1">
      <c r="A48" s="172" t="str">
        <f>ПТО!A7</f>
        <v>Регулировка шлагбаума (замена фотоэлементов).</v>
      </c>
      <c r="B48" s="172"/>
      <c r="C48" s="172"/>
      <c r="D48" s="172"/>
      <c r="E48" s="172"/>
      <c r="F48" s="177">
        <f>VLOOKUP(A48,ПТО!$A$2:$D$31,4,FALSE)</f>
        <v>2500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10"/>
      <c r="L48" s="189"/>
      <c r="M48" s="114"/>
      <c r="N48" s="110"/>
      <c r="O48" s="23" t="str">
        <f t="shared" si="1"/>
        <v>Регулировка шлагбаума (замена фотоэлементов).</v>
      </c>
      <c r="R48" s="22" t="s">
        <v>72</v>
      </c>
    </row>
    <row r="49" spans="1:18" ht="51" customHeight="1" outlineLevel="1">
      <c r="A49" s="172" t="str">
        <f>ПТО!A8</f>
        <v>Подключение шлагбаума к системе пожарной безопасности.</v>
      </c>
      <c r="B49" s="172"/>
      <c r="C49" s="172"/>
      <c r="D49" s="172"/>
      <c r="E49" s="172"/>
      <c r="F49" s="177">
        <f>VLOOKUP(A49,ПТО!$A$2:$D$31,4,FALSE)</f>
        <v>5881.85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10"/>
      <c r="L49" s="189"/>
      <c r="M49" s="114"/>
      <c r="N49" s="110"/>
      <c r="O49" s="23" t="str">
        <f t="shared" si="1"/>
        <v>Подключение шлагбаума к системе пожарной безопасности.</v>
      </c>
      <c r="R49" s="22" t="s">
        <v>72</v>
      </c>
    </row>
    <row r="50" spans="1:18" ht="51" customHeight="1" outlineLevel="1">
      <c r="A50" s="172" t="str">
        <f>ПТО!A9</f>
        <v>Замена фильтра на подающем трубопроводе ГВС.</v>
      </c>
      <c r="B50" s="172"/>
      <c r="C50" s="172"/>
      <c r="D50" s="172"/>
      <c r="E50" s="172"/>
      <c r="F50" s="177">
        <f>VLOOKUP(A50,ПТО!$A$2:$D$31,4,FALSE)</f>
        <v>1050</v>
      </c>
      <c r="G50" s="177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10"/>
      <c r="L50" s="189"/>
      <c r="M50" s="114"/>
      <c r="N50" s="110"/>
      <c r="O50" s="23" t="str">
        <f t="shared" si="1"/>
        <v>Замена фильтра на подающем трубопроводе ГВС.</v>
      </c>
      <c r="R50" s="22" t="s">
        <v>72</v>
      </c>
    </row>
    <row r="51" spans="1:18" ht="51" customHeight="1" outlineLevel="1">
      <c r="A51" s="172" t="str">
        <f>ПТО!A10</f>
        <v>Благоустройство придомовой территории (приобретение вазонов 4 шт.).</v>
      </c>
      <c r="B51" s="172"/>
      <c r="C51" s="172"/>
      <c r="D51" s="172"/>
      <c r="E51" s="172"/>
      <c r="F51" s="177">
        <f>VLOOKUP(A51,ПТО!$A$2:$D$31,4,FALSE)</f>
        <v>7300</v>
      </c>
      <c r="G51" s="177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10"/>
      <c r="L51" s="189"/>
      <c r="M51" s="114"/>
      <c r="N51" s="110"/>
      <c r="O51" s="23" t="str">
        <f t="shared" si="1"/>
        <v>Благоустройство придомовой территории (приобретение вазонов 4 шт.).</v>
      </c>
      <c r="R51" s="22" t="s">
        <v>72</v>
      </c>
    </row>
    <row r="52" spans="1:18" ht="51" customHeight="1" outlineLevel="1">
      <c r="A52" s="172" t="str">
        <f>ПТО!A11</f>
        <v>Приобретение и монтаж ковровой дорожки (вход в лифтовой холл, 3,8 п/м.).</v>
      </c>
      <c r="B52" s="172"/>
      <c r="C52" s="172"/>
      <c r="D52" s="172"/>
      <c r="E52" s="172"/>
      <c r="F52" s="177">
        <f>VLOOKUP(A52,ПТО!$A$2:$D$31,4,FALSE)</f>
        <v>3610</v>
      </c>
      <c r="G52" s="177"/>
      <c r="H52" s="25" t="str">
        <f>VLOOKUP(A52,ПТО!$A$2:$D$31,2,FALSE)</f>
        <v>разово</v>
      </c>
      <c r="I52" s="173">
        <f>VLOOKUP(A52,ПТО!$A$2:$D$31,3,FALSE)</f>
        <v>1</v>
      </c>
      <c r="J52" s="173"/>
      <c r="K52" s="110"/>
      <c r="L52" s="189"/>
      <c r="M52" s="114"/>
      <c r="N52" s="110"/>
      <c r="O52" s="23" t="str">
        <f t="shared" si="1"/>
        <v>Приобретение и монтаж ковровой дорожки (вход в лифтовой холл, 3,8 п/м.).</v>
      </c>
      <c r="R52" s="22" t="s">
        <v>72</v>
      </c>
    </row>
    <row r="53" spans="1:18" ht="51" customHeight="1" outlineLevel="1">
      <c r="A53" s="172" t="str">
        <f>ПТО!A12</f>
        <v>Замена аккумуляторов и бесперебойников системы пожарной безопасности.</v>
      </c>
      <c r="B53" s="172"/>
      <c r="C53" s="172"/>
      <c r="D53" s="172"/>
      <c r="E53" s="172"/>
      <c r="F53" s="177">
        <f>VLOOKUP(A53,ПТО!$A$2:$D$31,4,FALSE)</f>
        <v>6275</v>
      </c>
      <c r="G53" s="177"/>
      <c r="H53" s="25" t="str">
        <f>VLOOKUP(A53,ПТО!$A$2:$D$31,2,FALSE)</f>
        <v>разово</v>
      </c>
      <c r="I53" s="173">
        <f>VLOOKUP(A53,ПТО!$A$2:$D$31,3,FALSE)</f>
        <v>1</v>
      </c>
      <c r="J53" s="173"/>
      <c r="K53" s="110"/>
      <c r="L53" s="189"/>
      <c r="M53" s="114"/>
      <c r="N53" s="110"/>
      <c r="O53" s="23" t="str">
        <f t="shared" si="1"/>
        <v>Замена аккумуляторов и бесперебойников системы пожарной безопасности.</v>
      </c>
      <c r="R53" s="22" t="s">
        <v>72</v>
      </c>
    </row>
    <row r="54" spans="1:18" ht="51" customHeight="1" outlineLevel="1">
      <c r="A54" s="172" t="str">
        <f>ПТО!A13</f>
        <v>Ремонт шлагбаума (пусконаладочные работы).</v>
      </c>
      <c r="B54" s="172"/>
      <c r="C54" s="172"/>
      <c r="D54" s="172"/>
      <c r="E54" s="172"/>
      <c r="F54" s="177">
        <f>VLOOKUP(A54,ПТО!$A$2:$D$31,4,FALSE)</f>
        <v>1250</v>
      </c>
      <c r="G54" s="177"/>
      <c r="H54" s="25" t="str">
        <f>VLOOKUP(A54,ПТО!$A$2:$D$31,2,FALSE)</f>
        <v>разово</v>
      </c>
      <c r="I54" s="173">
        <f>VLOOKUP(A54,ПТО!$A$2:$D$31,3,FALSE)</f>
        <v>1</v>
      </c>
      <c r="J54" s="173"/>
      <c r="K54" s="110"/>
      <c r="L54" s="189"/>
      <c r="M54" s="114"/>
      <c r="N54" s="110"/>
      <c r="O54" s="23" t="str">
        <f t="shared" si="1"/>
        <v>Ремонт шлагбаума (пусконаладочные работы).</v>
      </c>
      <c r="R54" s="22" t="s">
        <v>72</v>
      </c>
    </row>
    <row r="55" spans="1:18" ht="51" customHeight="1" outlineLevel="1">
      <c r="A55" s="172" t="str">
        <f>ПТО!A14</f>
        <v>Изготовление и монтаж алюминиевой двери на лестничном марше.</v>
      </c>
      <c r="B55" s="172"/>
      <c r="C55" s="172"/>
      <c r="D55" s="172"/>
      <c r="E55" s="172"/>
      <c r="F55" s="177">
        <f>VLOOKUP(A55,ПТО!$A$2:$D$31,4,FALSE)</f>
        <v>38659.57</v>
      </c>
      <c r="G55" s="177"/>
      <c r="H55" s="25" t="str">
        <f>VLOOKUP(A55,ПТО!$A$2:$D$31,2,FALSE)</f>
        <v>разово</v>
      </c>
      <c r="I55" s="173">
        <f>VLOOKUP(A55,ПТО!$A$2:$D$31,3,FALSE)</f>
        <v>1</v>
      </c>
      <c r="J55" s="173"/>
      <c r="K55" s="110"/>
      <c r="L55" s="189"/>
      <c r="M55" s="114"/>
      <c r="N55" s="110"/>
      <c r="O55" s="23" t="str">
        <f t="shared" si="1"/>
        <v>Изготовление и монтаж алюминиевой двери на лестничном марше.</v>
      </c>
      <c r="R55" s="22" t="s">
        <v>72</v>
      </c>
    </row>
    <row r="56" spans="1:18" ht="51" customHeight="1" outlineLevel="1">
      <c r="A56" s="172" t="str">
        <f>ПТО!A15</f>
        <v>Замена прибора учета на систему ГВС.</v>
      </c>
      <c r="B56" s="172"/>
      <c r="C56" s="172"/>
      <c r="D56" s="172"/>
      <c r="E56" s="172"/>
      <c r="F56" s="177">
        <f>VLOOKUP(A56,ПТО!$A$2:$D$31,4,FALSE)</f>
        <v>4000</v>
      </c>
      <c r="G56" s="177"/>
      <c r="H56" s="25" t="str">
        <f>VLOOKUP(A56,ПТО!$A$2:$D$31,2,FALSE)</f>
        <v>разово</v>
      </c>
      <c r="I56" s="173">
        <f>VLOOKUP(A56,ПТО!$A$2:$D$31,3,FALSE)</f>
        <v>1</v>
      </c>
      <c r="J56" s="173"/>
      <c r="K56" s="110"/>
      <c r="L56" s="189"/>
      <c r="M56" s="114"/>
      <c r="N56" s="110"/>
      <c r="O56" s="23" t="str">
        <f t="shared" si="1"/>
        <v>Замена прибора учета на систему ГВС.</v>
      </c>
      <c r="R56" s="22" t="s">
        <v>72</v>
      </c>
    </row>
    <row r="57" spans="1:18" ht="51" customHeight="1" outlineLevel="1">
      <c r="A57" s="172" t="str">
        <f>ПТО!A16</f>
        <v>Испытание пожарных кранов (31 шт.).</v>
      </c>
      <c r="B57" s="172"/>
      <c r="C57" s="172"/>
      <c r="D57" s="172"/>
      <c r="E57" s="172"/>
      <c r="F57" s="177">
        <f>VLOOKUP(A57,ПТО!$A$2:$D$31,4,FALSE)</f>
        <v>7750</v>
      </c>
      <c r="G57" s="177"/>
      <c r="H57" s="25" t="str">
        <f>VLOOKUP(A57,ПТО!$A$2:$D$31,2,FALSE)</f>
        <v>разово</v>
      </c>
      <c r="I57" s="173">
        <f>VLOOKUP(A57,ПТО!$A$2:$D$31,3,FALSE)</f>
        <v>1</v>
      </c>
      <c r="J57" s="173"/>
      <c r="K57" s="110"/>
      <c r="L57" s="189"/>
      <c r="M57" s="114"/>
      <c r="N57" s="110"/>
      <c r="O57" s="23" t="str">
        <f t="shared" si="1"/>
        <v>Испытание пожарных кранов (31 шт.).</v>
      </c>
      <c r="R57" s="22" t="s">
        <v>72</v>
      </c>
    </row>
    <row r="58" spans="1:18" ht="51" customHeight="1" outlineLevel="1">
      <c r="A58" s="172" t="str">
        <f>ПТО!A17</f>
        <v>Механизированная уборка  и вывоз снега с придомовой территории.</v>
      </c>
      <c r="B58" s="172"/>
      <c r="C58" s="172"/>
      <c r="D58" s="172"/>
      <c r="E58" s="172"/>
      <c r="F58" s="177">
        <f>VLOOKUP(A58,ПТО!$A$2:$D$31,4,FALSE)</f>
        <v>13680.3</v>
      </c>
      <c r="G58" s="177"/>
      <c r="H58" s="25" t="str">
        <f>VLOOKUP(A58,ПТО!$A$2:$D$31,2,FALSE)</f>
        <v>разово</v>
      </c>
      <c r="I58" s="173">
        <f>VLOOKUP(A58,ПТО!$A$2:$D$31,3,FALSE)</f>
        <v>1</v>
      </c>
      <c r="J58" s="173"/>
      <c r="K58" s="110"/>
      <c r="L58" s="189"/>
      <c r="M58" s="114"/>
      <c r="N58" s="110"/>
      <c r="O58" s="23" t="str">
        <f t="shared" si="1"/>
        <v>Механизированная уборка  и вывоз снега с придомовой территории.</v>
      </c>
      <c r="R58" s="22" t="s">
        <v>72</v>
      </c>
    </row>
    <row r="59" spans="1:18" ht="51" customHeight="1" outlineLevel="1">
      <c r="A59" s="172" t="str">
        <f>ПТО!A18</f>
        <v>Замена датчика давления на узле учета тепловой энергии.</v>
      </c>
      <c r="B59" s="172"/>
      <c r="C59" s="172"/>
      <c r="D59" s="172"/>
      <c r="E59" s="172"/>
      <c r="F59" s="177">
        <f>VLOOKUP(A59,ПТО!$A$2:$D$31,4,FALSE)</f>
        <v>2303</v>
      </c>
      <c r="G59" s="177"/>
      <c r="H59" s="25" t="str">
        <f>VLOOKUP(A59,ПТО!$A$2:$D$31,2,FALSE)</f>
        <v>разово</v>
      </c>
      <c r="I59" s="173">
        <f>VLOOKUP(A59,ПТО!$A$2:$D$31,3,FALSE)</f>
        <v>1</v>
      </c>
      <c r="J59" s="173"/>
      <c r="K59" s="110"/>
      <c r="L59" s="189"/>
      <c r="M59" s="114"/>
      <c r="N59" s="110"/>
      <c r="O59" s="23" t="str">
        <f t="shared" si="1"/>
        <v>Замена датчика давления на узле учета тепловой энергии.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10"/>
      <c r="L60" s="189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10"/>
      <c r="L61" s="189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10"/>
      <c r="L62" s="189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10"/>
      <c r="L63" s="189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10"/>
      <c r="L64" s="189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10"/>
      <c r="L65" s="189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10"/>
      <c r="L66" s="189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10"/>
      <c r="L67" s="189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10"/>
      <c r="L68" s="189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10"/>
      <c r="L69" s="189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10"/>
      <c r="L70" s="189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4"/>
      <c r="L71" s="189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10"/>
      <c r="L72" s="189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10"/>
      <c r="L75" s="192"/>
      <c r="M75" s="110"/>
      <c r="N75" s="110"/>
      <c r="O75" s="71" t="s">
        <v>99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10"/>
      <c r="L76" s="192"/>
      <c r="M76" s="110"/>
      <c r="N76" s="110"/>
      <c r="O76" s="71" t="s">
        <v>100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10"/>
      <c r="L77" s="192"/>
      <c r="M77" s="110"/>
      <c r="N77" s="110"/>
      <c r="O77" s="71" t="s">
        <v>101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8">
        <f>VLOOKUP(O78,АО,3,FALSE)</f>
        <v>0</v>
      </c>
      <c r="K78" s="110"/>
      <c r="L78" s="192"/>
      <c r="M78" s="110"/>
      <c r="N78" s="110"/>
      <c r="O78" s="71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8">
        <f t="shared" ref="J81:J90" si="2">VLOOKUP(O81,АО,3,FALSE)</f>
        <v>0</v>
      </c>
      <c r="K81" s="110"/>
      <c r="L81" s="178"/>
      <c r="M81" s="110"/>
      <c r="N81" s="110"/>
      <c r="O81" s="71" t="s">
        <v>103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8">
        <f t="shared" si="2"/>
        <v>0</v>
      </c>
      <c r="K82" s="110"/>
      <c r="L82" s="178"/>
      <c r="M82" s="110"/>
      <c r="N82" s="110"/>
      <c r="O82" s="71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8">
        <f t="shared" si="2"/>
        <v>54112.639999999999</v>
      </c>
      <c r="K83" s="110"/>
      <c r="L83" s="178"/>
      <c r="M83" s="110"/>
      <c r="N83" s="110"/>
      <c r="O83" s="71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8">
        <f t="shared" si="2"/>
        <v>0</v>
      </c>
      <c r="K84" s="110"/>
      <c r="L84" s="178"/>
      <c r="M84" s="110"/>
      <c r="N84" s="110"/>
      <c r="O84" s="71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8">
        <f t="shared" si="2"/>
        <v>0</v>
      </c>
      <c r="K85" s="110"/>
      <c r="L85" s="178"/>
      <c r="M85" s="110"/>
      <c r="N85" s="110"/>
      <c r="O85" s="71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8">
        <f t="shared" si="2"/>
        <v>50566.16</v>
      </c>
      <c r="K86" s="110"/>
      <c r="L86" s="178"/>
      <c r="M86" s="110"/>
      <c r="N86" s="110"/>
      <c r="O86" s="71" t="s">
        <v>108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10"/>
      <c r="L87" s="178"/>
      <c r="M87" s="110"/>
      <c r="N87" s="110"/>
      <c r="O87" s="71" t="s">
        <v>109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10"/>
      <c r="L88" s="178"/>
      <c r="M88" s="110"/>
      <c r="N88" s="110"/>
      <c r="O88" s="71" t="s">
        <v>110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10"/>
      <c r="L89" s="178"/>
      <c r="M89" s="110"/>
      <c r="N89" s="110"/>
      <c r="O89" s="71" t="s">
        <v>111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8">
        <f t="shared" si="2"/>
        <v>0</v>
      </c>
      <c r="K90" s="110"/>
      <c r="L90" s="178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93" t="s">
        <v>48</v>
      </c>
      <c r="B93" s="193"/>
      <c r="C93" s="193"/>
      <c r="D93" s="194" t="s">
        <v>49</v>
      </c>
      <c r="E93" s="194"/>
      <c r="F93" s="10" t="s">
        <v>50</v>
      </c>
      <c r="G93" s="193" t="s">
        <v>51</v>
      </c>
      <c r="H93" s="193"/>
      <c r="I93" s="193"/>
      <c r="J93" s="193"/>
      <c r="K93" s="110"/>
      <c r="L93" s="110"/>
      <c r="M93" s="110"/>
      <c r="N93" s="110"/>
    </row>
    <row r="94" spans="1:15" outlineLevel="1">
      <c r="A94" s="174" t="str">
        <f>IF(VLOOKUP("эл",АО,3,FALSE)&gt;0,"Электроснабжение",0)</f>
        <v>Электроснабжение</v>
      </c>
      <c r="B94" s="174"/>
      <c r="C94" s="174"/>
      <c r="D94" s="175" t="str">
        <f>IF(VLOOKUP("эл",АО,3,FALSE)&gt;0,VLOOKUP("эл",АО,3,FALSE),0)</f>
        <v>Предоставляется</v>
      </c>
      <c r="E94" s="175"/>
      <c r="F94" s="13" t="str">
        <f>IF(VLOOKUP("эл",АО,3,FALSE)&gt;0,VLOOKUP("эл",АО,4,FALSE),0)</f>
        <v>кВт*ч</v>
      </c>
      <c r="G94" s="176">
        <f>VLOOKUP("эл",АО,5,FALSE)</f>
        <v>86414.3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outlineLevel="2">
      <c r="A95" s="191" t="str">
        <f>IF(VLOOKUP("эл",АО,3,FALSE)&gt;0,VLOOKUP("эл1",АО,2,FALSE),0)</f>
        <v>Общий объем потребления, нат. показ.</v>
      </c>
      <c r="B95" s="191"/>
      <c r="C95" s="191"/>
      <c r="D95" s="191"/>
      <c r="E95" s="191"/>
      <c r="F95" s="191"/>
      <c r="G95" s="191"/>
      <c r="H95" s="191"/>
      <c r="I95" s="191"/>
      <c r="J95" s="18" t="str">
        <f t="shared" ref="J95:J101" si="3">VLOOKUP(O95,АО,3,FALSE)</f>
        <v>72011.92</v>
      </c>
      <c r="L95" s="179"/>
      <c r="O95" s="1" t="s">
        <v>113</v>
      </c>
    </row>
    <row r="96" spans="1:15" outlineLevel="2">
      <c r="A96" s="191" t="str">
        <f>IF(VLOOKUP("эл",АО,3,FALSE)&gt;0,VLOOKUP("эл2",АО,2,FALSE),0)</f>
        <v>Оплачено потребителями, руб.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85185.32</v>
      </c>
      <c r="L96" s="179"/>
      <c r="O96" s="1" t="s">
        <v>114</v>
      </c>
    </row>
    <row r="97" spans="1:15" outlineLevel="2">
      <c r="A97" s="191" t="str">
        <f>IF(VLOOKUP("эл",АО,3,FALSE)&gt;0,VLOOKUP("эл3",АО,2,FALSE),0)</f>
        <v>Задолженность потребителей, руб.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1228.9799999999959</v>
      </c>
      <c r="L97" s="179"/>
      <c r="O97" s="1" t="s">
        <v>115</v>
      </c>
    </row>
    <row r="98" spans="1:15" ht="37.5" customHeight="1" outlineLevel="2">
      <c r="A98" s="191" t="str">
        <f>IF(VLOOKUP("эл",АО,3,FALSE)&gt;0,VLOOKUP("эл4",АО,2,FALSE),0)</f>
        <v>Начислено поставщиком (поставщиками) коммунального ресурса, руб.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86414.3</v>
      </c>
      <c r="L98" s="179"/>
      <c r="O98" s="1" t="s">
        <v>116</v>
      </c>
    </row>
    <row r="99" spans="1:15" outlineLevel="2">
      <c r="A99" s="191" t="str">
        <f>IF(VLOOKUP("эл",АО,3,FALSE)&gt;0,VLOOKUP("эл5",АО,2,FALSE),0)</f>
        <v>Оплачено поставщику (поставщикам) коммунального ресурса, руб.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86414.3</v>
      </c>
      <c r="L99" s="179"/>
      <c r="O99" s="1" t="s">
        <v>117</v>
      </c>
    </row>
    <row r="100" spans="1:15" ht="39" customHeight="1" outlineLevel="2">
      <c r="A100" s="19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118</v>
      </c>
    </row>
    <row r="101" spans="1:15" ht="34.5" customHeight="1" outlineLevel="2">
      <c r="A101" s="19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119</v>
      </c>
    </row>
    <row r="102" spans="1:15" ht="28.5" customHeight="1" outlineLevel="1">
      <c r="A102" s="174" t="str">
        <f>IF(VLOOKUP("хвс",АО,3,FALSE)&gt;0,"Холодное водоснабжение",0)</f>
        <v>Холодное водоснабжение</v>
      </c>
      <c r="B102" s="174"/>
      <c r="C102" s="174"/>
      <c r="D102" s="175" t="str">
        <f>IF(VLOOKUP("хвс",АО,3,FALSE)&gt;0,VLOOKUP("хвс",АО,3,FALSE),0)</f>
        <v>Предоставляется</v>
      </c>
      <c r="E102" s="175"/>
      <c r="F102" s="13" t="str">
        <f>IF(VLOOKUP("хвс",АО,3,FALSE)&gt;0,VLOOKUP("хвс",АО,4,FALSE),0)</f>
        <v>куб.м.</v>
      </c>
      <c r="G102" s="176">
        <f>VLOOKUP("хвс",АО,5,FALSE)</f>
        <v>9300.59</v>
      </c>
      <c r="H102" s="175"/>
      <c r="I102" s="175"/>
      <c r="J102" s="175"/>
      <c r="L102" s="179"/>
    </row>
    <row r="103" spans="1:15" outlineLevel="2">
      <c r="A103" s="191" t="str">
        <f t="shared" ref="A103:A109" si="4">IF(VLOOKUP("хвс",АО,3,FALSE)&gt;0,VLOOKUP(O103,АО,2,FALSE),0)</f>
        <v>Общий объем потребления, нат. показ.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704.59</v>
      </c>
      <c r="L103" s="179"/>
      <c r="O103" s="1" t="s">
        <v>122</v>
      </c>
    </row>
    <row r="104" spans="1:15" ht="18.75" customHeight="1" outlineLevel="2">
      <c r="A104" s="191" t="str">
        <f t="shared" si="4"/>
        <v>Оплачено потребителями, руб.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10560.84</v>
      </c>
      <c r="L104" s="179"/>
      <c r="O104" s="1" t="s">
        <v>123</v>
      </c>
    </row>
    <row r="105" spans="1:15" ht="18.75" customHeight="1" outlineLevel="2">
      <c r="A105" s="191" t="str">
        <f t="shared" si="4"/>
        <v>Задолженность потребителей, руб.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179"/>
      <c r="O105" s="1" t="s">
        <v>124</v>
      </c>
    </row>
    <row r="106" spans="1:15" ht="36.75" customHeight="1" outlineLevel="2">
      <c r="A106" s="191" t="str">
        <f t="shared" si="4"/>
        <v>Начислено поставщиком (поставщиками) коммунального ресурса, руб.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9300.59</v>
      </c>
      <c r="L106" s="179"/>
      <c r="O106" s="1" t="s">
        <v>125</v>
      </c>
    </row>
    <row r="107" spans="1:15" ht="18.75" customHeight="1" outlineLevel="2">
      <c r="A107" s="191" t="str">
        <f t="shared" si="4"/>
        <v>Оплачено поставщику (поставщикам) коммунального ресурса, руб.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9300.59</v>
      </c>
      <c r="L107" s="179"/>
      <c r="O107" s="1" t="s">
        <v>126</v>
      </c>
    </row>
    <row r="108" spans="1:15" ht="37.5" customHeight="1" outlineLevel="2">
      <c r="A108" s="191" t="str">
        <f t="shared" si="4"/>
        <v>Задолженность перед поставщиком (поставщиками) коммунального ресурса, руб.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127</v>
      </c>
    </row>
    <row r="109" spans="1:15" ht="39.75" customHeight="1" outlineLevel="2">
      <c r="A109" s="191" t="str">
        <f t="shared" si="4"/>
        <v>Размер пени и штрафов, уплаченных поставщику (поставщикам) коммунального ресурса, руб.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128</v>
      </c>
    </row>
    <row r="110" spans="1:15" ht="27" customHeight="1" outlineLevel="1">
      <c r="A110" s="174" t="str">
        <f>IF(VLOOKUP("воо",АО,3,FALSE)&gt;0,"Водоотведение",0)</f>
        <v>Водоотведение</v>
      </c>
      <c r="B110" s="174"/>
      <c r="C110" s="174"/>
      <c r="D110" s="175" t="str">
        <f>IF(VLOOKUP("воо",АО,3,FALSE)&gt;0,VLOOKUP("воо",АО,3,FALSE),0)</f>
        <v>Предоставляется</v>
      </c>
      <c r="E110" s="175"/>
      <c r="F110" s="13" t="str">
        <f>IF(VLOOKUP("воо",АО,3,FALSE)&gt;0,VLOOKUP("воо",АО,4,FALSE),0)</f>
        <v>куб.м.</v>
      </c>
      <c r="G110" s="176">
        <f>VLOOKUP("воо",АО,5,FALSE)</f>
        <v>11654.76</v>
      </c>
      <c r="H110" s="175"/>
      <c r="I110" s="175"/>
      <c r="J110" s="175"/>
      <c r="L110" s="179"/>
    </row>
    <row r="111" spans="1:15" outlineLevel="2">
      <c r="A111" s="170" t="str">
        <f t="shared" ref="A111:A117" si="6">IF(VLOOKUP("воо",АО,3,FALSE)&gt;0,VLOOKUP(O111,АО,2,FALSE),0)</f>
        <v>Общий объем потребления, нат. показ.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726.61</v>
      </c>
      <c r="L111" s="179"/>
      <c r="O111" s="1" t="s">
        <v>130</v>
      </c>
    </row>
    <row r="112" spans="1:15" ht="18.75" customHeight="1" outlineLevel="2">
      <c r="A112" s="170" t="str">
        <f t="shared" si="6"/>
        <v>Оплачено потребителями, руб.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12608.18</v>
      </c>
      <c r="L112" s="179"/>
      <c r="O112" s="1" t="s">
        <v>131</v>
      </c>
    </row>
    <row r="113" spans="1:15" ht="19.5" customHeight="1" outlineLevel="2">
      <c r="A113" s="170" t="str">
        <f t="shared" si="6"/>
        <v>Задолженность потребителей, руб.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79"/>
      <c r="O113" s="1" t="s">
        <v>132</v>
      </c>
    </row>
    <row r="114" spans="1:15" ht="33" customHeight="1" outlineLevel="2">
      <c r="A114" s="170" t="str">
        <f t="shared" si="6"/>
        <v>Начислено поставщиком (поставщиками) коммунального ресурса, руб.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11654.76</v>
      </c>
      <c r="L114" s="179"/>
      <c r="O114" s="1" t="s">
        <v>133</v>
      </c>
    </row>
    <row r="115" spans="1:15" ht="18.75" customHeight="1" outlineLevel="2">
      <c r="A115" s="170" t="str">
        <f t="shared" si="6"/>
        <v>Оплачено поставщику (поставщикам) коммунального ресурса, руб.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11654.76</v>
      </c>
      <c r="L115" s="179"/>
      <c r="O115" s="1" t="s">
        <v>134</v>
      </c>
    </row>
    <row r="116" spans="1:15" ht="33.75" customHeight="1" outlineLevel="2">
      <c r="A116" s="170" t="str">
        <f t="shared" si="6"/>
        <v>Задолженность перед поставщиком (поставщиками) коммунального ресурса, руб.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135</v>
      </c>
    </row>
    <row r="117" spans="1:15" ht="32.25" customHeight="1" outlineLevel="2">
      <c r="A117" s="170" t="str">
        <f t="shared" si="6"/>
        <v>Размер пени и штрафов, уплаченных поставщику (поставщикам) коммунального ресурса, руб.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136</v>
      </c>
    </row>
    <row r="118" spans="1:15" ht="32.25" customHeight="1" outlineLevel="1">
      <c r="A118" s="174" t="str">
        <f>IF(VLOOKUP("тко",АО,3,FALSE)&gt;0,"Обращение с ТКО",0)</f>
        <v>Обращение с ТКО</v>
      </c>
      <c r="B118" s="174"/>
      <c r="C118" s="174"/>
      <c r="D118" s="175" t="str">
        <f>IF(VLOOKUP("тко",АО,3,FALSE)&gt;0,VLOOKUP("тко",АО,3,FALSE),0)</f>
        <v>Предоставляется</v>
      </c>
      <c r="E118" s="175"/>
      <c r="F118" s="13" t="str">
        <f>IF(VLOOKUP("тко",АО,3,FALSE)&gt;0,VLOOKUP("тко",АО,4,FALSE),0)</f>
        <v>куб.м.</v>
      </c>
      <c r="G118" s="176">
        <f>VLOOKUP("тко",АО,5,FALSE)</f>
        <v>176989.62</v>
      </c>
      <c r="H118" s="175"/>
      <c r="I118" s="175"/>
      <c r="J118" s="175"/>
      <c r="L118" s="48"/>
    </row>
    <row r="119" spans="1:15" ht="32.25" customHeight="1" outlineLevel="2">
      <c r="A119" s="170" t="str">
        <f t="shared" ref="A119:A125" si="8">IF(VLOOKUP("тко",АО,3,FALSE)&gt;0,VLOOKUP(O119,АО,2,FALSE),0)</f>
        <v>Общий объем потребления, нат. показ.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329.06</v>
      </c>
      <c r="L119" s="48"/>
      <c r="O119" s="1" t="s">
        <v>138</v>
      </c>
    </row>
    <row r="120" spans="1:15" ht="32.25" customHeight="1" outlineLevel="2">
      <c r="A120" s="170" t="str">
        <f t="shared" si="8"/>
        <v>Оплачено потребителями, руб.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179551.41</v>
      </c>
      <c r="L120" s="48"/>
      <c r="O120" s="1" t="s">
        <v>139</v>
      </c>
    </row>
    <row r="121" spans="1:15" ht="32.25" customHeight="1" outlineLevel="2">
      <c r="A121" s="170" t="str">
        <f t="shared" si="8"/>
        <v>Задолженность потребителей, руб.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70" t="str">
        <f t="shared" si="8"/>
        <v>Начислено поставщиком (поставщиками) коммунального ресурса, руб.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176989.62</v>
      </c>
      <c r="L122" s="48"/>
      <c r="O122" s="1" t="s">
        <v>141</v>
      </c>
    </row>
    <row r="123" spans="1:15" ht="32.25" customHeight="1" outlineLevel="2">
      <c r="A123" s="170" t="str">
        <f t="shared" si="8"/>
        <v>Оплачено поставщику (поставщикам) коммунального ресурса, руб.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176989.62</v>
      </c>
      <c r="L123" s="48"/>
      <c r="O123" s="1" t="s">
        <v>142</v>
      </c>
    </row>
    <row r="124" spans="1:15" ht="32.25" customHeight="1" outlineLevel="2">
      <c r="A124" s="170" t="str">
        <f t="shared" si="8"/>
        <v>Задолженность перед поставщиком (поставщиками) коммунального ресурса, руб.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70" t="str">
        <f t="shared" si="8"/>
        <v>Размер пени и штрафов, уплаченных поставщику (поставщикам) коммунального ресурса, руб.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6">
        <f>VLOOKUP("гвс",АО,5,FALSE)</f>
        <v>0</v>
      </c>
      <c r="H126" s="175"/>
      <c r="I126" s="175"/>
      <c r="J126" s="175"/>
      <c r="L126" s="48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8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70" t="s">
        <v>45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170</v>
      </c>
    </row>
    <row r="145" spans="1:15" ht="18.75" customHeight="1" outlineLevel="1">
      <c r="A145" s="170" t="s">
        <v>46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70" t="s">
        <v>173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35588.559999999998</v>
      </c>
      <c r="O146" t="s">
        <v>172</v>
      </c>
    </row>
    <row r="149" spans="1:15" ht="52.5" customHeight="1">
      <c r="A149" s="195" t="s">
        <v>185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7" t="s">
        <v>190</v>
      </c>
      <c r="B154" s="197"/>
      <c r="C154" s="197"/>
      <c r="D154" s="197"/>
      <c r="E154" s="27">
        <f>ПТО!G1</f>
        <v>171454.68</v>
      </c>
    </row>
    <row r="155" spans="1:15" ht="34.5" customHeight="1">
      <c r="A155" s="196" t="s">
        <v>191</v>
      </c>
      <c r="B155" s="196"/>
      <c r="C155" s="196"/>
      <c r="D155" s="196"/>
      <c r="E155" s="28">
        <f>J13</f>
        <v>238620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Техническое обслуживание охранной сигнализации.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10800</v>
      </c>
      <c r="G158" s="177"/>
      <c r="H158" s="24" t="str">
        <f t="shared" ref="H158:H187" si="16">VLOOKUP(A158,$A$28:$J$72,8,FALSE)</f>
        <v>ежемесячно</v>
      </c>
      <c r="I158" s="173">
        <f t="shared" ref="I158:I161" si="17">VLOOKUP(A158,$A$28:$J$72,9,FALSE)</f>
        <v>12</v>
      </c>
      <c r="J158" s="17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72" t="str">
        <f t="shared" si="14"/>
        <v>Техническое освидетельствование лифтов.</v>
      </c>
      <c r="B159" s="172"/>
      <c r="C159" s="172"/>
      <c r="D159" s="172"/>
      <c r="E159" s="172"/>
      <c r="F159" s="177">
        <f t="shared" si="15"/>
        <v>16200</v>
      </c>
      <c r="G159" s="177"/>
      <c r="H159" s="24" t="str">
        <f t="shared" si="16"/>
        <v>ежегодно</v>
      </c>
      <c r="I159" s="173">
        <f t="shared" si="17"/>
        <v>1</v>
      </c>
      <c r="J159" s="173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2" t="str">
        <f t="shared" si="14"/>
        <v>Ремонт шлагбаума.</v>
      </c>
      <c r="B160" s="172"/>
      <c r="C160" s="172"/>
      <c r="D160" s="172"/>
      <c r="E160" s="172"/>
      <c r="F160" s="177">
        <f t="shared" si="15"/>
        <v>1800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Ремонт шлагбаума.</v>
      </c>
    </row>
    <row r="161" spans="1:14" ht="28.5" customHeight="1">
      <c r="A161" s="172" t="str">
        <f>IF(N161&gt;0,N161,0)</f>
        <v>Приобретение и монтаж штапиков под заполнение алюминиевых дверей.</v>
      </c>
      <c r="B161" s="172"/>
      <c r="C161" s="172"/>
      <c r="D161" s="172"/>
      <c r="E161" s="172"/>
      <c r="F161" s="177">
        <f t="shared" si="15"/>
        <v>13712.36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Приобретение и монтаж штапиков под заполнение алюминиевых дверей.</v>
      </c>
    </row>
    <row r="162" spans="1:14" ht="28.5" customHeight="1">
      <c r="A162" s="172" t="str">
        <f t="shared" si="14"/>
        <v>Замена пожарного дымового извещателя ИПД-3.1м)</v>
      </c>
      <c r="B162" s="172"/>
      <c r="C162" s="172"/>
      <c r="D162" s="172"/>
      <c r="E162" s="172"/>
      <c r="F162" s="177">
        <f t="shared" si="15"/>
        <v>400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Замена пожарного дымового извещателя ИПД-3.1м)</v>
      </c>
    </row>
    <row r="163" spans="1:14" ht="28.5" customHeight="1">
      <c r="A163" s="172" t="str">
        <f t="shared" si="14"/>
        <v>Регулировка шлагбаума (замена фотоэлементов).</v>
      </c>
      <c r="B163" s="172"/>
      <c r="C163" s="172"/>
      <c r="D163" s="172"/>
      <c r="E163" s="172"/>
      <c r="F163" s="177">
        <f t="shared" si="15"/>
        <v>2500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Регулировка шлагбаума (замена фотоэлементов).</v>
      </c>
    </row>
    <row r="164" spans="1:14" ht="28.5" customHeight="1">
      <c r="A164" s="172" t="str">
        <f t="shared" ref="A164:A187" si="18">IF(N164&gt;0,N164,0)</f>
        <v>Подключение шлагбаума к системе пожарной безопасности.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5881.85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Подключение шлагбаума к системе пожарной безопасности.</v>
      </c>
    </row>
    <row r="165" spans="1:14" ht="28.5" customHeight="1">
      <c r="A165" s="172" t="str">
        <f t="shared" si="18"/>
        <v>Замена фильтра на подающем трубопроводе ГВС.</v>
      </c>
      <c r="B165" s="172"/>
      <c r="C165" s="172"/>
      <c r="D165" s="172"/>
      <c r="E165" s="172"/>
      <c r="F165" s="177">
        <f t="shared" si="19"/>
        <v>1050</v>
      </c>
      <c r="G165" s="177"/>
      <c r="H165" s="29" t="str">
        <f t="shared" si="16"/>
        <v>разово</v>
      </c>
      <c r="I165" s="173">
        <f t="shared" si="20"/>
        <v>1</v>
      </c>
      <c r="J165" s="173"/>
      <c r="M165" s="22" t="s">
        <v>72</v>
      </c>
      <c r="N165" s="1" t="str">
        <v>Замена фильтра на подающем трубопроводе ГВС.</v>
      </c>
    </row>
    <row r="166" spans="1:14" ht="28.5" customHeight="1">
      <c r="A166" s="172" t="str">
        <f t="shared" si="18"/>
        <v>Благоустройство придомовой территории (приобретение вазонов 4 шт.).</v>
      </c>
      <c r="B166" s="172"/>
      <c r="C166" s="172"/>
      <c r="D166" s="172"/>
      <c r="E166" s="172"/>
      <c r="F166" s="177">
        <f t="shared" si="19"/>
        <v>7300</v>
      </c>
      <c r="G166" s="177"/>
      <c r="H166" s="29" t="str">
        <f t="shared" si="16"/>
        <v>разово</v>
      </c>
      <c r="I166" s="173">
        <f t="shared" si="20"/>
        <v>1</v>
      </c>
      <c r="J166" s="173"/>
      <c r="M166" s="22" t="s">
        <v>72</v>
      </c>
      <c r="N166" s="1" t="str">
        <v>Благоустройство придомовой территории (приобретение вазонов 4 шт.).</v>
      </c>
    </row>
    <row r="167" spans="1:14" ht="28.5" customHeight="1">
      <c r="A167" s="172" t="str">
        <f t="shared" si="18"/>
        <v>Приобретение и монтаж ковровой дорожки (вход в лифтовой холл, 3,8 п/м.).</v>
      </c>
      <c r="B167" s="172"/>
      <c r="C167" s="172"/>
      <c r="D167" s="172"/>
      <c r="E167" s="172"/>
      <c r="F167" s="177">
        <f t="shared" si="19"/>
        <v>3610</v>
      </c>
      <c r="G167" s="177"/>
      <c r="H167" s="29" t="str">
        <f t="shared" si="16"/>
        <v>разово</v>
      </c>
      <c r="I167" s="173">
        <f t="shared" si="20"/>
        <v>1</v>
      </c>
      <c r="J167" s="173"/>
      <c r="M167" s="22" t="s">
        <v>72</v>
      </c>
      <c r="N167" s="1" t="str">
        <v>Приобретение и монтаж ковровой дорожки (вход в лифтовой холл, 3,8 п/м.).</v>
      </c>
    </row>
    <row r="168" spans="1:14" ht="28.5" customHeight="1">
      <c r="A168" s="172" t="str">
        <f t="shared" si="18"/>
        <v>Замена аккумуляторов и бесперебойников системы пожарной безопасности.</v>
      </c>
      <c r="B168" s="172"/>
      <c r="C168" s="172"/>
      <c r="D168" s="172"/>
      <c r="E168" s="172"/>
      <c r="F168" s="177">
        <f t="shared" si="19"/>
        <v>6275</v>
      </c>
      <c r="G168" s="177"/>
      <c r="H168" s="29" t="str">
        <f t="shared" si="16"/>
        <v>разово</v>
      </c>
      <c r="I168" s="173">
        <f t="shared" si="20"/>
        <v>1</v>
      </c>
      <c r="J168" s="173"/>
      <c r="M168" s="22" t="s">
        <v>72</v>
      </c>
      <c r="N168" s="1" t="str">
        <v>Замена аккумуляторов и бесперебойников системы пожарной безопасности.</v>
      </c>
    </row>
    <row r="169" spans="1:14" ht="28.5" customHeight="1">
      <c r="A169" s="172" t="str">
        <f t="shared" si="18"/>
        <v>Ремонт шлагбаума (пусконаладочные работы).</v>
      </c>
      <c r="B169" s="172"/>
      <c r="C169" s="172"/>
      <c r="D169" s="172"/>
      <c r="E169" s="172"/>
      <c r="F169" s="177">
        <f t="shared" si="19"/>
        <v>1250</v>
      </c>
      <c r="G169" s="177"/>
      <c r="H169" s="29" t="str">
        <f t="shared" si="16"/>
        <v>разово</v>
      </c>
      <c r="I169" s="173">
        <f t="shared" si="20"/>
        <v>1</v>
      </c>
      <c r="J169" s="173"/>
      <c r="M169" s="22" t="s">
        <v>72</v>
      </c>
      <c r="N169" s="1" t="str">
        <v>Ремонт шлагбаума (пусконаладочные работы).</v>
      </c>
    </row>
    <row r="170" spans="1:14" ht="28.5" customHeight="1">
      <c r="A170" s="172" t="str">
        <f t="shared" si="18"/>
        <v>Изготовление и монтаж алюминиевой двери на лестничном марше.</v>
      </c>
      <c r="B170" s="172"/>
      <c r="C170" s="172"/>
      <c r="D170" s="172"/>
      <c r="E170" s="172"/>
      <c r="F170" s="177">
        <f t="shared" si="19"/>
        <v>38659.57</v>
      </c>
      <c r="G170" s="177"/>
      <c r="H170" s="29" t="str">
        <f t="shared" si="16"/>
        <v>разово</v>
      </c>
      <c r="I170" s="173">
        <f t="shared" si="20"/>
        <v>1</v>
      </c>
      <c r="J170" s="173"/>
      <c r="M170" s="22" t="s">
        <v>72</v>
      </c>
      <c r="N170" s="1" t="str">
        <v>Изготовление и монтаж алюминиевой двери на лестничном марше.</v>
      </c>
    </row>
    <row r="171" spans="1:14" ht="28.5" customHeight="1">
      <c r="A171" s="172" t="str">
        <f t="shared" si="18"/>
        <v>Замена прибора учета на систему ГВС.</v>
      </c>
      <c r="B171" s="172"/>
      <c r="C171" s="172"/>
      <c r="D171" s="172"/>
      <c r="E171" s="172"/>
      <c r="F171" s="177">
        <f t="shared" si="19"/>
        <v>4000</v>
      </c>
      <c r="G171" s="177"/>
      <c r="H171" s="29" t="str">
        <f t="shared" si="16"/>
        <v>разово</v>
      </c>
      <c r="I171" s="173">
        <f t="shared" si="20"/>
        <v>1</v>
      </c>
      <c r="J171" s="173"/>
      <c r="M171" s="22" t="s">
        <v>72</v>
      </c>
      <c r="N171" s="1" t="str">
        <v>Замена прибора учета на систему ГВС.</v>
      </c>
    </row>
    <row r="172" spans="1:14" ht="28.5" customHeight="1">
      <c r="A172" s="172" t="str">
        <f t="shared" si="18"/>
        <v>Испытание пожарных кранов (31 шт.).</v>
      </c>
      <c r="B172" s="172"/>
      <c r="C172" s="172"/>
      <c r="D172" s="172"/>
      <c r="E172" s="172"/>
      <c r="F172" s="177">
        <f t="shared" si="19"/>
        <v>7750</v>
      </c>
      <c r="G172" s="177"/>
      <c r="H172" s="29" t="str">
        <f t="shared" si="16"/>
        <v>разово</v>
      </c>
      <c r="I172" s="173">
        <f t="shared" si="20"/>
        <v>1</v>
      </c>
      <c r="J172" s="173"/>
      <c r="M172" s="22" t="s">
        <v>72</v>
      </c>
      <c r="N172" s="1" t="str">
        <v>Испытание пожарных кранов (31 шт.).</v>
      </c>
    </row>
    <row r="173" spans="1:14" ht="28.5" customHeight="1">
      <c r="A173" s="172" t="str">
        <f t="shared" si="18"/>
        <v>Механизированная уборка  и вывоз снега с придомовой территории.</v>
      </c>
      <c r="B173" s="172"/>
      <c r="C173" s="172"/>
      <c r="D173" s="172"/>
      <c r="E173" s="172"/>
      <c r="F173" s="177">
        <f t="shared" si="19"/>
        <v>13680.3</v>
      </c>
      <c r="G173" s="177"/>
      <c r="H173" s="29" t="str">
        <f t="shared" si="16"/>
        <v>разово</v>
      </c>
      <c r="I173" s="173">
        <f t="shared" si="20"/>
        <v>1</v>
      </c>
      <c r="J173" s="173"/>
      <c r="M173" s="22" t="s">
        <v>72</v>
      </c>
      <c r="N173" s="1" t="str">
        <v>Механизированная уборка  и вывоз снега с придомовой территории.</v>
      </c>
    </row>
    <row r="174" spans="1:14" ht="28.5" customHeight="1">
      <c r="A174" s="172" t="str">
        <f t="shared" si="18"/>
        <v>Замена датчика давления на узле учета тепловой энергии.</v>
      </c>
      <c r="B174" s="172"/>
      <c r="C174" s="172"/>
      <c r="D174" s="172"/>
      <c r="E174" s="172"/>
      <c r="F174" s="177">
        <f t="shared" si="19"/>
        <v>2303</v>
      </c>
      <c r="G174" s="177"/>
      <c r="H174" s="29" t="str">
        <f t="shared" si="16"/>
        <v>разово</v>
      </c>
      <c r="I174" s="173">
        <f t="shared" si="20"/>
        <v>1</v>
      </c>
      <c r="J174" s="173"/>
      <c r="M174" s="22" t="s">
        <v>72</v>
      </c>
      <c r="N174" s="1" t="str">
        <v>Замена датчика давления на узле учета тепловой энергии.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97" t="s">
        <v>194</v>
      </c>
      <c r="B190" s="197"/>
      <c r="C190" s="197"/>
      <c r="D190" s="197"/>
      <c r="E190" s="27">
        <f>SUM(F158:G187)</f>
        <v>137172.07999999999</v>
      </c>
    </row>
    <row r="191" spans="1:14" ht="51.75" customHeight="1">
      <c r="A191" s="197" t="s">
        <v>193</v>
      </c>
      <c r="B191" s="197"/>
      <c r="C191" s="197"/>
      <c r="D191" s="197"/>
      <c r="E191" s="27">
        <f>E190+E154-E155</f>
        <v>70006.760000000009</v>
      </c>
    </row>
    <row r="192" spans="1:14">
      <c r="A192" s="105" t="s">
        <v>174</v>
      </c>
    </row>
    <row r="193" spans="1:10" ht="62.25" customHeight="1">
      <c r="A193" s="171" t="s">
        <v>192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50">
        <f>ПТО!G12</f>
        <v>1200</v>
      </c>
      <c r="I194" s="51" t="s">
        <v>74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50">
        <f>ПТО!G13</f>
        <v>16200</v>
      </c>
      <c r="I195" s="51" t="s">
        <v>74</v>
      </c>
    </row>
    <row r="196" spans="1:10" ht="18.75" customHeight="1">
      <c r="A196" s="169" t="str">
        <f>ПТО!F14</f>
        <v xml:space="preserve">  -  техническое обслуживание охранной сигнализации</v>
      </c>
      <c r="B196" s="169"/>
      <c r="C196" s="169"/>
      <c r="D196" s="169"/>
      <c r="E196" s="169"/>
      <c r="F196" s="169"/>
      <c r="G196" s="169"/>
      <c r="H196" s="50">
        <f>ПТО!G14</f>
        <v>10800</v>
      </c>
      <c r="I196" s="51" t="s">
        <v>74</v>
      </c>
    </row>
    <row r="197" spans="1:10" ht="18.75" customHeight="1">
      <c r="A197" s="169" t="str">
        <f>ПТО!F15</f>
        <v xml:space="preserve">  -  покраска (обновление) бордюров и разлиновка парковочных мест</v>
      </c>
      <c r="B197" s="169"/>
      <c r="C197" s="169"/>
      <c r="D197" s="169"/>
      <c r="E197" s="169"/>
      <c r="F197" s="169"/>
      <c r="G197" s="169"/>
      <c r="H197" s="50">
        <f>ПТО!G15</f>
        <v>9000</v>
      </c>
      <c r="I197" s="51" t="s">
        <v>74</v>
      </c>
    </row>
    <row r="198" spans="1:10" ht="18.75" customHeight="1">
      <c r="A198" s="169" t="str">
        <f>ПТО!F16</f>
        <v xml:space="preserve">  -  промазка битумным технониколем швов рулонного технониколя, фановых труб, вентиляционных шахт, парапетов и т. п.</v>
      </c>
      <c r="B198" s="169"/>
      <c r="C198" s="169"/>
      <c r="D198" s="169"/>
      <c r="E198" s="169"/>
      <c r="F198" s="169"/>
      <c r="G198" s="169"/>
      <c r="H198" s="50">
        <f>ПТО!G16</f>
        <v>12000</v>
      </c>
      <c r="I198" s="53" t="s">
        <v>74</v>
      </c>
    </row>
    <row r="199" spans="1:10" ht="18.75" customHeight="1">
      <c r="A199" s="169" t="str">
        <f>ПТО!F17</f>
        <v xml:space="preserve">  -  изготовление и монтаж входной металлической двери 1 шт.</v>
      </c>
      <c r="B199" s="169"/>
      <c r="C199" s="169"/>
      <c r="D199" s="169"/>
      <c r="E199" s="169"/>
      <c r="F199" s="169"/>
      <c r="G199" s="169"/>
      <c r="H199" s="50">
        <f>ПТО!G17</f>
        <v>35000</v>
      </c>
      <c r="I199" s="51" t="s">
        <v>74</v>
      </c>
    </row>
    <row r="200" spans="1:10">
      <c r="A200" s="169" t="str">
        <f>ПТО!F18</f>
        <v xml:space="preserve">  -  изготовление и монтаж пластиковых входных дверей 1 шт.</v>
      </c>
      <c r="B200" s="169"/>
      <c r="C200" s="169"/>
      <c r="D200" s="169"/>
      <c r="E200" s="169"/>
      <c r="F200" s="169"/>
      <c r="G200" s="169"/>
      <c r="H200" s="50">
        <f>ПТО!G18</f>
        <v>35000</v>
      </c>
      <c r="I200" s="51" t="s">
        <v>74</v>
      </c>
    </row>
    <row r="201" spans="1:10">
      <c r="A201" s="169" t="str">
        <f>ПТО!F19</f>
        <v xml:space="preserve">  -  оборудование комнаты уборщицы смесителем</v>
      </c>
      <c r="B201" s="169"/>
      <c r="C201" s="169"/>
      <c r="D201" s="169"/>
      <c r="E201" s="169"/>
      <c r="F201" s="169"/>
      <c r="G201" s="169"/>
      <c r="H201" s="50">
        <f>ПТО!G19</f>
        <v>2500</v>
      </c>
      <c r="I201" s="51" t="s">
        <v>74</v>
      </c>
    </row>
    <row r="202" spans="1:10">
      <c r="A202" s="169" t="str">
        <f>ПТО!F20</f>
        <v xml:space="preserve">  -  ремонт элементов детской площадки</v>
      </c>
      <c r="B202" s="169"/>
      <c r="C202" s="169"/>
      <c r="D202" s="169"/>
      <c r="E202" s="169"/>
      <c r="F202" s="169"/>
      <c r="G202" s="169"/>
      <c r="H202" s="50">
        <f>ПТО!G20</f>
        <v>15000</v>
      </c>
      <c r="I202" s="51" t="s">
        <v>74</v>
      </c>
    </row>
    <row r="203" spans="1:10">
      <c r="A203" s="169" t="str">
        <f>ПТО!F21</f>
        <v xml:space="preserve">  -  косметический ремонт фасада МКД </v>
      </c>
      <c r="B203" s="169"/>
      <c r="C203" s="169"/>
      <c r="D203" s="169"/>
      <c r="E203" s="169"/>
      <c r="F203" s="169"/>
      <c r="G203" s="169"/>
      <c r="H203" s="50">
        <f>ПТО!G21</f>
        <v>50000</v>
      </c>
      <c r="I203" s="51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50">
        <f>ПТО!G22</f>
        <v>0</v>
      </c>
      <c r="I204" s="51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50">
        <f>ПТО!G23</f>
        <v>0</v>
      </c>
      <c r="I205" s="51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50">
        <f>ПТО!G24</f>
        <v>0</v>
      </c>
      <c r="I206" s="51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50">
        <f>ПТО!G25</f>
        <v>0</v>
      </c>
      <c r="I207" s="51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50">
        <f>ПТО!G26</f>
        <v>0</v>
      </c>
      <c r="I208" s="51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50">
        <f>ПТО!G27</f>
        <v>0</v>
      </c>
      <c r="I209" s="51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50">
        <f>ПТО!G28</f>
        <v>0</v>
      </c>
      <c r="I210" s="51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50">
        <f>ПТО!G29</f>
        <v>0</v>
      </c>
      <c r="I211" s="51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50">
        <f>ПТО!G30</f>
        <v>0</v>
      </c>
      <c r="I212" s="51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186700</v>
      </c>
      <c r="I214" s="57" t="s">
        <v>77</v>
      </c>
    </row>
  </sheetData>
  <sheetProtection algorithmName="SHA-512" hashValue="dZICTa0dCbuYZ2jP5+znArct9yPT9jf0zLI7j/ooxOwweBggIWP9RyHE6XHzgOo6SKHuJfRH+6K694OyFVeAAg==" saltValue="UIZWhAUssGkfGqZv4NMpU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3"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190</v>
      </c>
      <c r="G1" s="102">
        <f>171454.68</f>
        <v>171454.68</v>
      </c>
    </row>
    <row r="2" spans="1:12" ht="18.75" customHeight="1">
      <c r="A2" s="146" t="s">
        <v>182</v>
      </c>
      <c r="B2" s="147" t="s">
        <v>183</v>
      </c>
      <c r="C2" s="148">
        <v>12</v>
      </c>
      <c r="D2" s="149">
        <f>900*12</f>
        <v>10800</v>
      </c>
      <c r="E2" s="138" t="s">
        <v>207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50" t="s">
        <v>187</v>
      </c>
      <c r="B3" s="151" t="s">
        <v>189</v>
      </c>
      <c r="C3" s="152">
        <v>1</v>
      </c>
      <c r="D3" s="153">
        <v>16200</v>
      </c>
      <c r="E3" s="138" t="s">
        <v>206</v>
      </c>
      <c r="F3" s="30"/>
      <c r="G3" s="30"/>
      <c r="L3" s="33" t="str">
        <f t="shared" si="0"/>
        <v>ТР</v>
      </c>
    </row>
    <row r="4" spans="1:12" ht="18.75" customHeight="1">
      <c r="A4" s="121" t="s">
        <v>186</v>
      </c>
      <c r="B4" s="123" t="s">
        <v>178</v>
      </c>
      <c r="C4" s="43">
        <v>1</v>
      </c>
      <c r="D4" s="168">
        <v>1800</v>
      </c>
      <c r="E4" s="122" t="s">
        <v>188</v>
      </c>
      <c r="F4" s="45"/>
      <c r="G4" s="30"/>
      <c r="L4" s="33" t="str">
        <f t="shared" si="0"/>
        <v>ТР</v>
      </c>
    </row>
    <row r="5" spans="1:12" ht="18.75" customHeight="1">
      <c r="A5" s="154" t="s">
        <v>195</v>
      </c>
      <c r="B5" s="145" t="s">
        <v>178</v>
      </c>
      <c r="C5" s="43">
        <v>1</v>
      </c>
      <c r="D5" s="44">
        <v>13712.36</v>
      </c>
      <c r="E5" s="141" t="s">
        <v>208</v>
      </c>
      <c r="F5" s="45"/>
      <c r="G5" s="45"/>
      <c r="K5" s="47"/>
      <c r="L5" s="33" t="str">
        <f t="shared" si="0"/>
        <v>ТР</v>
      </c>
    </row>
    <row r="6" spans="1:12" ht="18.75" customHeight="1">
      <c r="A6" s="124" t="s">
        <v>197</v>
      </c>
      <c r="B6" s="125" t="s">
        <v>178</v>
      </c>
      <c r="C6" s="119">
        <v>1</v>
      </c>
      <c r="D6" s="120">
        <v>400</v>
      </c>
      <c r="E6" s="126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55" t="s">
        <v>196</v>
      </c>
      <c r="B7" s="125" t="s">
        <v>178</v>
      </c>
      <c r="C7" s="119">
        <v>1</v>
      </c>
      <c r="D7" s="120">
        <v>2500</v>
      </c>
      <c r="E7" s="141" t="s">
        <v>209</v>
      </c>
      <c r="F7" s="46"/>
      <c r="G7" s="46"/>
      <c r="K7" s="47"/>
      <c r="L7" s="33" t="str">
        <f t="shared" si="0"/>
        <v>ТР</v>
      </c>
    </row>
    <row r="8" spans="1:12" ht="18.75" customHeight="1">
      <c r="A8" s="127" t="s">
        <v>199</v>
      </c>
      <c r="B8" s="128" t="s">
        <v>178</v>
      </c>
      <c r="C8" s="43">
        <v>1</v>
      </c>
      <c r="D8" s="129">
        <v>5881.85</v>
      </c>
      <c r="E8" s="130" t="s">
        <v>200</v>
      </c>
      <c r="F8" s="46"/>
      <c r="G8" s="46"/>
      <c r="K8" s="44"/>
      <c r="L8" s="33" t="str">
        <f t="shared" si="0"/>
        <v>ТР</v>
      </c>
    </row>
    <row r="9" spans="1:12">
      <c r="A9" s="156" t="s">
        <v>210</v>
      </c>
      <c r="B9" s="139" t="s">
        <v>178</v>
      </c>
      <c r="C9" s="43">
        <v>1</v>
      </c>
      <c r="D9" s="129">
        <v>1050</v>
      </c>
      <c r="E9" s="141" t="s">
        <v>211</v>
      </c>
      <c r="F9" s="45"/>
      <c r="G9" s="45"/>
      <c r="K9" s="44"/>
      <c r="L9" s="33" t="str">
        <f t="shared" si="0"/>
        <v>ТР</v>
      </c>
    </row>
    <row r="10" spans="1:12">
      <c r="A10" s="143" t="s">
        <v>201</v>
      </c>
      <c r="B10" s="144" t="s">
        <v>178</v>
      </c>
      <c r="C10" s="119">
        <v>1</v>
      </c>
      <c r="D10" s="120">
        <v>7300</v>
      </c>
      <c r="E10" s="141" t="s">
        <v>212</v>
      </c>
      <c r="L10" s="33" t="str">
        <f t="shared" si="0"/>
        <v>ТР</v>
      </c>
    </row>
    <row r="11" spans="1:12" ht="94.5">
      <c r="A11" s="156" t="s">
        <v>213</v>
      </c>
      <c r="B11" s="139" t="s">
        <v>178</v>
      </c>
      <c r="C11" s="43">
        <v>1</v>
      </c>
      <c r="D11" s="129">
        <v>3610</v>
      </c>
      <c r="E11" s="141" t="s">
        <v>214</v>
      </c>
      <c r="F11" s="112" t="s">
        <v>192</v>
      </c>
      <c r="G11" s="112"/>
      <c r="L11" s="33" t="str">
        <f t="shared" si="0"/>
        <v>ТР</v>
      </c>
    </row>
    <row r="12" spans="1:12" ht="31.5">
      <c r="A12" s="155" t="s">
        <v>220</v>
      </c>
      <c r="B12" s="142" t="s">
        <v>178</v>
      </c>
      <c r="C12" s="119">
        <v>1</v>
      </c>
      <c r="D12" s="120">
        <v>6275</v>
      </c>
      <c r="E12" s="141" t="s">
        <v>215</v>
      </c>
      <c r="F12" s="117" t="s">
        <v>73</v>
      </c>
      <c r="G12" s="118">
        <v>1200</v>
      </c>
      <c r="L12" s="33" t="str">
        <f t="shared" si="0"/>
        <v>ТР</v>
      </c>
    </row>
    <row r="13" spans="1:12" ht="31.5">
      <c r="A13" s="131" t="s">
        <v>204</v>
      </c>
      <c r="B13" s="132" t="s">
        <v>178</v>
      </c>
      <c r="C13" s="43">
        <v>1</v>
      </c>
      <c r="D13" s="134">
        <v>1250</v>
      </c>
      <c r="E13" s="133" t="s">
        <v>205</v>
      </c>
      <c r="F13" s="117" t="s">
        <v>75</v>
      </c>
      <c r="G13" s="118">
        <v>16200</v>
      </c>
      <c r="L13" s="33" t="str">
        <f t="shared" si="0"/>
        <v>ТР</v>
      </c>
    </row>
    <row r="14" spans="1:12" ht="31.5">
      <c r="A14" s="154" t="s">
        <v>221</v>
      </c>
      <c r="B14" s="140" t="s">
        <v>178</v>
      </c>
      <c r="C14" s="43">
        <v>1</v>
      </c>
      <c r="D14" s="44">
        <v>38659.57</v>
      </c>
      <c r="E14" s="141" t="s">
        <v>216</v>
      </c>
      <c r="F14" s="117" t="s">
        <v>184</v>
      </c>
      <c r="G14" s="118">
        <v>10800</v>
      </c>
      <c r="L14" s="33" t="str">
        <f t="shared" si="0"/>
        <v>ТР</v>
      </c>
    </row>
    <row r="15" spans="1:12" ht="31.5">
      <c r="A15" s="156" t="s">
        <v>217</v>
      </c>
      <c r="B15" s="139" t="s">
        <v>178</v>
      </c>
      <c r="C15" s="43">
        <v>1</v>
      </c>
      <c r="D15" s="129">
        <v>4000</v>
      </c>
      <c r="E15" s="138" t="s">
        <v>218</v>
      </c>
      <c r="F15" s="117" t="s">
        <v>232</v>
      </c>
      <c r="G15" s="118">
        <v>9000</v>
      </c>
      <c r="L15" s="33" t="str">
        <f t="shared" si="0"/>
        <v>ТР</v>
      </c>
    </row>
    <row r="16" spans="1:12" ht="63">
      <c r="A16" s="135" t="s">
        <v>202</v>
      </c>
      <c r="B16" s="136" t="s">
        <v>178</v>
      </c>
      <c r="C16" s="137">
        <v>1</v>
      </c>
      <c r="D16" s="134">
        <v>7750</v>
      </c>
      <c r="E16" s="138" t="s">
        <v>219</v>
      </c>
      <c r="F16" s="117" t="s">
        <v>233</v>
      </c>
      <c r="G16" s="118">
        <v>12000</v>
      </c>
      <c r="L16" s="33" t="str">
        <f t="shared" si="0"/>
        <v>ТР</v>
      </c>
    </row>
    <row r="17" spans="1:12" ht="31.5">
      <c r="A17" s="161" t="s">
        <v>230</v>
      </c>
      <c r="B17" s="162" t="s">
        <v>178</v>
      </c>
      <c r="C17" s="163">
        <v>1</v>
      </c>
      <c r="D17" s="164">
        <v>13680.3</v>
      </c>
      <c r="E17" s="138" t="s">
        <v>237</v>
      </c>
      <c r="F17" s="117" t="s">
        <v>234</v>
      </c>
      <c r="G17" s="118">
        <v>35000</v>
      </c>
      <c r="L17" s="33" t="str">
        <f t="shared" si="0"/>
        <v>ТР</v>
      </c>
    </row>
    <row r="18" spans="1:12" ht="31.5">
      <c r="A18" s="165" t="s">
        <v>203</v>
      </c>
      <c r="B18" s="166" t="s">
        <v>178</v>
      </c>
      <c r="C18" s="43">
        <v>1</v>
      </c>
      <c r="D18" s="129">
        <v>2303</v>
      </c>
      <c r="E18" s="167" t="s">
        <v>238</v>
      </c>
      <c r="F18" s="117" t="s">
        <v>235</v>
      </c>
      <c r="G18" s="118">
        <v>35000</v>
      </c>
      <c r="L18" s="33" t="str">
        <f t="shared" si="0"/>
        <v>ТР</v>
      </c>
    </row>
    <row r="19" spans="1:12" ht="31.5">
      <c r="F19" s="117" t="s">
        <v>239</v>
      </c>
      <c r="G19" s="118">
        <v>2500</v>
      </c>
      <c r="L19" s="33">
        <f t="shared" si="0"/>
        <v>0</v>
      </c>
    </row>
    <row r="20" spans="1:12" ht="31.5">
      <c r="F20" s="117" t="s">
        <v>236</v>
      </c>
      <c r="G20" s="118">
        <v>15000</v>
      </c>
      <c r="L20" s="33">
        <f t="shared" si="0"/>
        <v>0</v>
      </c>
    </row>
    <row r="21" spans="1:12" ht="15.75">
      <c r="F21" s="117" t="s">
        <v>240</v>
      </c>
      <c r="G21" s="118">
        <v>50000</v>
      </c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59">
        <v>163689.24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163689.24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159">
        <v>85901.040000000008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85901.040000000008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59">
        <v>97831.799999999988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97831.799999999988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59">
        <v>56312.88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56312.88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59">
        <v>23861.4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23861.4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59">
        <v>97831.799999999988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97831.799999999988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176</v>
      </c>
      <c r="B46" s="159">
        <v>50109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50109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222</v>
      </c>
      <c r="B47" s="157">
        <f>(E47*G53*F55*6+E47*G53*G55*6)+(F47*G59*F61*6+F47*G59*G61*6)+(F47*G63*F65*6+F47*G63*G65*6)</f>
        <v>79682.287949999984</v>
      </c>
      <c r="C47" s="158" t="s">
        <v>68</v>
      </c>
      <c r="D47" s="49">
        <v>12</v>
      </c>
      <c r="E47" s="157">
        <v>1079.0999999999999</v>
      </c>
      <c r="F47" s="157">
        <v>766.5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79682.287949999984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59"/>
      <c r="C48" s="158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0" t="s">
        <v>223</v>
      </c>
      <c r="F52" s="160" t="s">
        <v>224</v>
      </c>
      <c r="G52" s="160" t="s">
        <v>225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0">
        <v>35.896999999999998</v>
      </c>
      <c r="F53" s="157">
        <v>3994.1</v>
      </c>
      <c r="G53" s="160">
        <v>3.83</v>
      </c>
      <c r="H53" s="160">
        <f>G53*E47/F53</f>
        <v>1.0347645276783255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0"/>
      <c r="F54" s="160" t="s">
        <v>226</v>
      </c>
      <c r="G54" s="160" t="s">
        <v>227</v>
      </c>
      <c r="H54" s="160">
        <f>H53*G56</f>
        <v>74.813475351142927</v>
      </c>
    </row>
    <row r="55" spans="5:16">
      <c r="E55" s="160"/>
      <c r="F55" s="160">
        <v>1.17</v>
      </c>
      <c r="G55" s="160">
        <v>1.23</v>
      </c>
      <c r="H55" s="160"/>
    </row>
    <row r="56" spans="5:16">
      <c r="E56" s="160"/>
      <c r="F56" s="160"/>
      <c r="G56" s="160">
        <v>72.3</v>
      </c>
      <c r="H56" s="160"/>
    </row>
    <row r="57" spans="5:16">
      <c r="E57" s="160"/>
      <c r="F57" s="160"/>
      <c r="G57" s="160"/>
      <c r="H57" s="160"/>
    </row>
    <row r="58" spans="5:16">
      <c r="E58" s="160" t="s">
        <v>228</v>
      </c>
      <c r="F58" s="160"/>
      <c r="G58" s="160"/>
      <c r="H58" s="160"/>
    </row>
    <row r="59" spans="5:16">
      <c r="E59" s="160">
        <v>0.59599999999999997</v>
      </c>
      <c r="F59" s="157">
        <f>F53</f>
        <v>3994.1</v>
      </c>
      <c r="G59" s="160">
        <v>7.4999999999999997E-2</v>
      </c>
      <c r="H59" s="160">
        <f>G59*F47</f>
        <v>57.487499999999997</v>
      </c>
    </row>
    <row r="60" spans="5:16">
      <c r="E60" s="160"/>
      <c r="F60" s="160" t="s">
        <v>226</v>
      </c>
      <c r="G60" s="160" t="s">
        <v>227</v>
      </c>
      <c r="H60" s="160">
        <f>H59/F59</f>
        <v>1.4393104829623695E-2</v>
      </c>
    </row>
    <row r="61" spans="5:16">
      <c r="E61" s="160"/>
      <c r="F61" s="160">
        <v>12.94</v>
      </c>
      <c r="G61" s="160">
        <v>13.45</v>
      </c>
      <c r="H61" s="160">
        <f>H60*G56</f>
        <v>1.0406214791817932</v>
      </c>
    </row>
    <row r="62" spans="5:16">
      <c r="E62" s="160" t="s">
        <v>229</v>
      </c>
      <c r="F62" s="160"/>
      <c r="G62" s="160"/>
      <c r="H62" s="160"/>
    </row>
    <row r="63" spans="5:16">
      <c r="E63" s="160">
        <v>0.59599999999999997</v>
      </c>
      <c r="F63" s="157">
        <f>F53</f>
        <v>3994.1</v>
      </c>
      <c r="G63" s="160">
        <v>7.4999999999999997E-2</v>
      </c>
      <c r="H63" s="160">
        <f>G63*F47</f>
        <v>57.487499999999997</v>
      </c>
    </row>
    <row r="64" spans="5:16">
      <c r="E64" s="160"/>
      <c r="F64" s="160" t="s">
        <v>226</v>
      </c>
      <c r="G64" s="160" t="s">
        <v>227</v>
      </c>
      <c r="H64" s="160">
        <f>H63/F63</f>
        <v>1.4393104829623695E-2</v>
      </c>
    </row>
    <row r="65" spans="4:13" ht="18.75" customHeight="1">
      <c r="E65" s="160"/>
      <c r="F65" s="160">
        <v>15.73</v>
      </c>
      <c r="G65" s="160">
        <v>16.350000000000001</v>
      </c>
      <c r="H65" s="160">
        <f>H64*G56</f>
        <v>1.0406214791817932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3977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116" t="s">
        <v>179</v>
      </c>
      <c r="F2" s="116" t="s">
        <v>180</v>
      </c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533333.17000000004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1053822.32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574046.12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F1*5*12</f>
        <v>238620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241156.2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1059210.18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1059210.18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1059210.18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527945.31000000029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0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0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0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0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9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9"/>
      <c r="N26" s="64"/>
    </row>
    <row r="27" spans="1:15" ht="18.75" customHeight="1">
      <c r="A27" s="71" t="s">
        <v>105</v>
      </c>
      <c r="B27" s="76" t="s">
        <v>4</v>
      </c>
      <c r="C27" s="87">
        <v>54112.639999999999</v>
      </c>
      <c r="D27" s="82" t="s">
        <v>60</v>
      </c>
      <c r="E27" s="65"/>
      <c r="F27" s="65"/>
      <c r="G27" s="65"/>
      <c r="H27" s="65"/>
      <c r="I27" s="65"/>
      <c r="J27" s="65"/>
      <c r="M27" s="199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9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9"/>
      <c r="N29" s="64"/>
    </row>
    <row r="30" spans="1:15" ht="18.75" customHeight="1">
      <c r="A30" s="71" t="s">
        <v>108</v>
      </c>
      <c r="B30" s="76" t="s">
        <v>18</v>
      </c>
      <c r="C30" s="87">
        <v>50566.16</v>
      </c>
      <c r="D30" s="82" t="s">
        <v>66</v>
      </c>
      <c r="E30" s="65"/>
      <c r="F30" s="65"/>
      <c r="G30" s="65"/>
      <c r="H30" s="65"/>
      <c r="I30" s="65"/>
      <c r="J30" s="65"/>
      <c r="M30" s="199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9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9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9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9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86414.3</v>
      </c>
      <c r="F37" s="95" t="s">
        <v>167</v>
      </c>
      <c r="G37" s="67"/>
      <c r="H37" s="67"/>
      <c r="I37" s="67"/>
      <c r="L37" s="64"/>
      <c r="M37" s="198"/>
      <c r="N37" s="64"/>
      <c r="O37" s="64"/>
    </row>
    <row r="38" spans="1:15" ht="18.75" customHeight="1">
      <c r="A38" s="71" t="s">
        <v>113</v>
      </c>
      <c r="B38" s="79" t="s">
        <v>37</v>
      </c>
      <c r="C38" s="91" t="s">
        <v>231</v>
      </c>
      <c r="D38" s="95" t="s">
        <v>165</v>
      </c>
      <c r="E38" s="69"/>
      <c r="G38" s="68"/>
      <c r="H38" s="68"/>
      <c r="L38" s="64"/>
      <c r="M38" s="198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85185.32</v>
      </c>
      <c r="D39" s="95" t="s">
        <v>166</v>
      </c>
      <c r="E39" s="69"/>
      <c r="G39" s="68"/>
      <c r="H39" s="68"/>
      <c r="L39" s="64"/>
      <c r="M39" s="198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1228.9799999999959</v>
      </c>
      <c r="D40" s="81" t="s">
        <v>59</v>
      </c>
      <c r="E40" s="69"/>
      <c r="G40" s="68"/>
      <c r="H40" s="68"/>
      <c r="L40" s="64"/>
      <c r="M40" s="198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86414.3</v>
      </c>
      <c r="D41" s="81" t="s">
        <v>59</v>
      </c>
      <c r="E41" s="69"/>
      <c r="G41" s="68"/>
      <c r="H41" s="68"/>
      <c r="L41" s="64"/>
      <c r="M41" s="198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86414.3</v>
      </c>
      <c r="D42" s="81" t="s">
        <v>59</v>
      </c>
      <c r="E42" s="69"/>
      <c r="G42" s="68"/>
      <c r="H42" s="68"/>
      <c r="L42" s="64"/>
      <c r="M42" s="198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8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8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9300.59</v>
      </c>
      <c r="F45" s="95" t="s">
        <v>167</v>
      </c>
      <c r="G45" s="67"/>
      <c r="H45" s="67"/>
      <c r="L45" s="64"/>
      <c r="M45" s="198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704.59</v>
      </c>
      <c r="D46" s="95" t="s">
        <v>168</v>
      </c>
      <c r="E46" s="69"/>
      <c r="G46" s="68"/>
      <c r="H46" s="68"/>
      <c r="L46" s="64"/>
      <c r="M46" s="198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10560.84</v>
      </c>
      <c r="D47" s="95" t="s">
        <v>166</v>
      </c>
      <c r="E47" s="69"/>
      <c r="G47" s="68"/>
      <c r="H47" s="68"/>
      <c r="L47" s="64"/>
      <c r="M47" s="198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98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9300.59</v>
      </c>
      <c r="D49" s="81" t="s">
        <v>59</v>
      </c>
      <c r="E49" s="69"/>
      <c r="G49" s="68"/>
      <c r="H49" s="68"/>
      <c r="L49" s="64"/>
      <c r="M49" s="198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9300.59</v>
      </c>
      <c r="D50" s="81" t="s">
        <v>59</v>
      </c>
      <c r="E50" s="69"/>
      <c r="G50" s="68"/>
      <c r="H50" s="68"/>
      <c r="L50" s="64"/>
      <c r="M50" s="198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8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8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11654.76</v>
      </c>
      <c r="F53" s="95" t="s">
        <v>167</v>
      </c>
      <c r="G53" s="67"/>
      <c r="H53" s="67"/>
      <c r="L53" s="64"/>
      <c r="M53" s="198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726.61</v>
      </c>
      <c r="D54" s="95" t="s">
        <v>168</v>
      </c>
      <c r="E54" s="70"/>
      <c r="F54" s="90"/>
      <c r="G54" s="65"/>
      <c r="H54" s="65"/>
      <c r="L54" s="64"/>
      <c r="M54" s="198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12608.18</v>
      </c>
      <c r="D55" s="95" t="s">
        <v>166</v>
      </c>
      <c r="E55" s="70"/>
      <c r="G55" s="65"/>
      <c r="H55" s="65"/>
      <c r="L55" s="64"/>
      <c r="M55" s="198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98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11654.76</v>
      </c>
      <c r="D57" s="81" t="s">
        <v>59</v>
      </c>
      <c r="E57" s="70"/>
      <c r="G57" s="65"/>
      <c r="H57" s="65"/>
      <c r="L57" s="64"/>
      <c r="M57" s="198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11654.76</v>
      </c>
      <c r="D58" s="81" t="s">
        <v>59</v>
      </c>
      <c r="E58" s="70"/>
      <c r="G58" s="65"/>
      <c r="H58" s="65"/>
      <c r="L58" s="64"/>
      <c r="M58" s="198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8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8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176989.62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329.06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179551.41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176989.62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176989.62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1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35588.559999999998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2022-03-30T01:58:54Z</dcterms:modified>
</cp:coreProperties>
</file>