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F40" i="2" l="1"/>
  <c r="B47" i="2" s="1"/>
  <c r="C6" i="3"/>
  <c r="B39" i="2" l="1"/>
  <c r="B44" i="2"/>
  <c r="B40" i="2"/>
  <c r="B45" i="2"/>
  <c r="B41" i="2"/>
  <c r="B46" i="2"/>
  <c r="B42" i="2"/>
  <c r="C8" i="3"/>
  <c r="C30" i="3"/>
  <c r="G1" i="2" l="1"/>
  <c r="H63" i="2" l="1"/>
  <c r="F63" i="2"/>
  <c r="H59" i="2"/>
  <c r="F59" i="2"/>
  <c r="H53" i="2"/>
  <c r="H54" i="2" s="1"/>
  <c r="H64" i="2" l="1"/>
  <c r="H65" i="2" s="1"/>
  <c r="H60" i="2"/>
  <c r="H61" i="2" s="1"/>
  <c r="C7" i="3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0" i="1"/>
  <c r="A96" i="1"/>
  <c r="G94" i="1"/>
  <c r="D94" i="1"/>
  <c r="K94" i="1"/>
  <c r="A95" i="1" l="1"/>
  <c r="A98" i="1"/>
  <c r="A94" i="1"/>
  <c r="A99" i="1"/>
  <c r="A119" i="1"/>
  <c r="A123" i="1"/>
  <c r="A118" i="1"/>
  <c r="D118" i="1"/>
  <c r="A120" i="1"/>
  <c r="A124" i="1"/>
  <c r="F118" i="1"/>
  <c r="A121" i="1"/>
  <c r="A125" i="1"/>
  <c r="A140" i="1"/>
  <c r="F134" i="1"/>
  <c r="A110" i="1"/>
  <c r="A141" i="1"/>
  <c r="A136" i="1"/>
  <c r="A114" i="1"/>
  <c r="D134" i="1"/>
  <c r="A137" i="1"/>
  <c r="A111" i="1"/>
  <c r="A115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<sst xmlns="http://schemas.openxmlformats.org/spreadsheetml/2006/main" count="568" uniqueCount="213">
  <si>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</si>
  <si>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</si>
  <si>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</si>
  <si>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</si>
  <si>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</si>
  <si>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</si>
  <si>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</si>
  <si>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</si>
  <si>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</si>
  <si>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</si>
  <si>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</si>
  <si>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</si>
  <si>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</si>
  <si>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</si>
  <si>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</si>
  <si>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</si>
  <si>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</si>
  <si>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</si>
  <si>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</si>
  <si>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</si>
  <si>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</si>
  <si>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</si>
  <si>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</si>
  <si>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</si>
  <si>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</si>
  <si>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</si>
  <si>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</si>
  <si>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</si>
  <si>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</si>
  <si>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</si>
  <si>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</si>
  <si>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</si>
  <si>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</si>
  <si>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</si>
  <si>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</si>
  <si>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</si>
  <si>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</si>
  <si>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</si>
  <si>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</si>
  <si>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</si>
  <si>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</si>
  <si>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</si>
  <si>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</si>
  <si>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</si>
  <si>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</si>
  <si>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</si>
  <si>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</si>
  <si>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</si>
  <si>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</si>
  <si>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</si>
  <si>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</si>
  <si>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</si>
  <si>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</si>
  <si>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</si>
  <si>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</si>
  <si>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</si>
  <si>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</si>
  <si>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</si>
  <si>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</si>
  <si>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</si>
  <si>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</si>
  <si>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</si>
  <si>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</si>
  <si>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</si>
  <si>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</si>
  <si>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</si>
  <si>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</si>
  <si>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</si>
  <si>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</si>
  <si>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</si>
  <si>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</si>
  <si>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</si>
  <si>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</si>
  <si>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</si>
  <si>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</si>
  <si>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</si>
  <si>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</si>
  <si>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</si>
  <si>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</si>
  <si>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</si>
  <si>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</si>
  <si>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</si>
  <si>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</si>
  <si>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</si>
  <si>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</si>
  <si>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</si>
  <si>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</si>
  <si>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</si>
  <si>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</si>
  <si>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</si>
  <si>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</si>
  <si>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</si>
  <si>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</si>
  <si>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</si>
  <si>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</si>
  <si>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</si>
  <si>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</si>
  <si>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</si>
  <si>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</si>
  <si>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</si>
  <si>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</si>
  <si>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</si>
  <si>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</si>
  <si>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</si>
  <si>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</si>
  <si>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</si>
  <si>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</si>
  <si>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</si>
  <si>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</si>
  <si>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</si>
  <si>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</si>
  <si>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</si>
  <si>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</si>
  <si>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</si>
  <si>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</si>
  <si>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</si>
  <si>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</si>
  <si>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</si>
  <si>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</si>
  <si>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</si>
  <si>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</si>
  <si>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</si>
  <si>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</si>
  <si>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</si>
  <si>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</si>
  <si>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</si>
  <si>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</si>
  <si>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</si>
  <si>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</si>
  <si>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</si>
  <si>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</si>
  <si>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</si>
  <si>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</si>
  <si>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</si>
  <si>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</si>
  <si>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</si>
  <si>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</si>
  <si>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</si>
  <si>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</si>
  <si>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</si>
  <si>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</si>
  <si>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</si>
  <si>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</si>
  <si>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</si>
  <si>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</si>
  <si>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</si>
  <si>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</si>
  <si>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</si>
  <si>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</si>
  <si>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</si>
  <si>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</si>
  <si>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</si>
  <si>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</si>
  <si>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</si>
  <si>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</si>
  <si>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</si>
  <si>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</si>
  <si>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</si>
  <si>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</si>
  <si>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</si>
  <si>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</si>
  <si>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</si>
  <si>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</si>
  <si>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</si>
  <si>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</si>
  <si>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</si>
  <si>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</si>
  <si>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</si>
  <si>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</si>
  <si>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</si>
  <si>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</si>
  <si>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</si>
  <si>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</si>
  <si>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</si>
  <si>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</si>
  <si>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307</t>
  </si>
  <si>
    <t>площадь дома</t>
  </si>
  <si>
    <t>с 01.12.2019, приказ №37 от 14.11.2019, протокол №1 от 04.11.2019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</si>
  <si>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</si>
  <si>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</si>
  <si>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307 в части текущего ремонта</t>
  </si>
  <si>
    <t>с 01.12.2020, приказ №31 от 14.14.2020, протокол №2-2 от 28.11.2020</t>
  </si>
  <si>
    <t>охрана и лифты в содержании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</si>
  <si>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</si>
  <si>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</si>
  <si>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</si>
  <si>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</si>
  <si>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</si>
  <si>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</si>
  <si>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</si>
  <si>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Работы по обеспечению пожарной безопасности и охрана ТП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</si>
  <si>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</si>
  <si>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</si>
  <si>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</si>
  <si>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</si>
  <si>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светильников в лифтах (4 шт.).</t>
  </si>
  <si>
    <t>разово</t>
  </si>
  <si>
    <t>Благоустройство придомовой территории (срезка и вывоз поврежденного асфальтобетона).</t>
  </si>
  <si>
    <t>Приобретение и монтаж металлических листов для укрытия парапетов кровли (11 шт.).</t>
  </si>
  <si>
    <t>Приобретение и замена ограничителя скорости пассажирского лифта.</t>
  </si>
  <si>
    <t>Приобретение и монтаж металлического ограждения (13,7 п/м.).</t>
  </si>
  <si>
    <t>АВР 1/22 от 06.07.2022, Решение</t>
  </si>
  <si>
    <t>АВР 2/22 от 13.09.2022, Решение, счет №10139 от 23.05.2022</t>
  </si>
  <si>
    <t>АВР 3/22 от 13.09.2022, Решение, счет №5528 от 26.04.2022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</si>
  <si>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</si>
  <si>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 и монтаж резинопола на крыльцо</t>
  </si>
  <si>
    <t xml:space="preserve">  -  изготовление и монтаж ограждения по периметру газона (со стороны двора)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</si>
  <si>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</si>
  <si>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ограничителей проезда</t>
  </si>
  <si>
    <t>АВР 5/22 от 26.12.2022, Решение, счет №371 от 15.06.2022</t>
  </si>
  <si>
    <t>Техническое обслуживание охранной сигнализации</t>
  </si>
  <si>
    <t>Перерасход (+) или экономия 
(-) средств по состоянию на 31 декабря 2022 года (руб.):</t>
  </si>
  <si>
    <t>АВР 4/22 от 26.12.2022, Решение, счет №2 от 13.01.2022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</si>
</sst>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3" fillId="0" borderId="0"/>
  </cellStyleXfs>
  <cellXfs count="19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5" applyFill="1" applyBorder="1" applyAlignment="1"/>
    <xf numFmtId="0" fontId="12" fillId="0" borderId="0" xfId="6" applyFill="1" applyBorder="1" applyAlignment="1">
      <alignment horizontal="center"/>
    </xf>
    <xf numFmtId="0" fontId="26" fillId="0" borderId="0" xfId="6" applyFont="1" applyFill="1" applyBorder="1" applyAlignment="1">
      <alignment horizontal="center"/>
    </xf>
    <xf numFmtId="4" fontId="26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1" fillId="0" borderId="0" xfId="2" applyFont="1" applyFill="1" applyBorder="1" applyAlignment="1"/>
    <xf numFmtId="0" fontId="0" fillId="0" borderId="0" xfId="0" applyFill="1"/>
    <xf numFmtId="4" fontId="26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1" fillId="0" borderId="0" xfId="6" applyFont="1" applyFill="1" applyBorder="1" applyAlignment="1">
      <alignment horizontal="center"/>
    </xf>
    <xf numFmtId="0" fontId="9" fillId="0" borderId="0" xfId="2" applyFont="1" applyFill="1" applyBorder="1" applyAlignment="1"/>
    <xf numFmtId="0" fontId="10" fillId="0" borderId="0" xfId="6" applyFont="1" applyFill="1" applyBorder="1" applyAlignment="1">
      <alignment horizontal="center"/>
    </xf>
    <xf numFmtId="0" fontId="0" fillId="0" borderId="0" xfId="0" applyFill="1" applyBorder="1"/>
    <xf numFmtId="0" fontId="36" fillId="0" borderId="0" xfId="5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36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4" fontId="12" fillId="0" borderId="0" xfId="6" applyNumberFormat="1" applyFill="1" applyBorder="1" applyAlignment="1"/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6" fillId="0" borderId="0" xfId="7" applyFont="1" applyFill="1" applyBorder="1" applyAlignment="1">
      <alignment wrapText="1"/>
    </xf>
    <xf numFmtId="0" fontId="26" fillId="0" borderId="0" xfId="7" applyFont="1" applyFill="1" applyBorder="1" applyAlignment="1">
      <alignment horizontal="center"/>
    </xf>
    <xf numFmtId="1" fontId="26" fillId="0" borderId="0" xfId="7" applyNumberFormat="1" applyFont="1" applyFill="1" applyBorder="1" applyAlignment="1">
      <alignment horizontal="center"/>
    </xf>
    <xf numFmtId="4" fontId="26" fillId="0" borderId="0" xfId="7" applyNumberFormat="1" applyFont="1" applyFill="1" applyBorder="1" applyAlignment="1"/>
    <xf numFmtId="0" fontId="26" fillId="0" borderId="0" xfId="8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2" fillId="0" borderId="0" xfId="5" applyFill="1" applyBorder="1" applyAlignment="1">
      <alignment horizontal="center"/>
    </xf>
    <xf numFmtId="4" fontId="26" fillId="0" borderId="0" xfId="5" applyNumberFormat="1" applyFont="1" applyFill="1" applyBorder="1" applyAlignment="1"/>
    <xf numFmtId="4" fontId="26" fillId="0" borderId="0" xfId="5" applyNumberFormat="1" applyFont="1" applyFill="1" applyBorder="1" applyAlignment="1">
      <alignment horizontal="left"/>
    </xf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37" fillId="0" borderId="0" xfId="0" applyNumberFormat="1" applyFont="1" applyAlignment="1">
      <alignment vertical="center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8"/>
    <cellStyle name="Обычный 2 5 2" xfId="9"/>
    <cellStyle name="Обычный 3" xfId="2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3" sqref="A193:J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175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80"/>
      <c r="M8" s="109"/>
      <c r="N8" s="109"/>
      <c r="O8" s="70" t="s">
        <v>81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80"/>
      <c r="M9" s="109"/>
      <c r="N9" s="109"/>
      <c r="O9" s="70" t="s">
        <v>82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1048826.49</v>
      </c>
      <c r="K10" s="109"/>
      <c r="L10" s="180"/>
      <c r="M10" s="109"/>
      <c r="N10" s="109"/>
      <c r="O10" s="70" t="s">
        <v>83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1366182.5279999999</v>
      </c>
      <c r="K11" s="109"/>
      <c r="L11" s="180"/>
      <c r="M11" s="109"/>
      <c r="N11" s="109"/>
      <c r="O11" s="70" t="s">
        <v>84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996599.56799999997</v>
      </c>
      <c r="K12" s="109"/>
      <c r="L12" s="180"/>
      <c r="M12" s="109"/>
      <c r="N12" s="109"/>
      <c r="O12" s="70" t="s">
        <v>85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146558.76</v>
      </c>
      <c r="K13" s="109"/>
      <c r="L13" s="180"/>
      <c r="M13" s="109"/>
      <c r="N13" s="109"/>
      <c r="O13" s="70" t="s">
        <v>86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223024.2</v>
      </c>
      <c r="K14" s="109"/>
      <c r="L14" s="180"/>
      <c r="M14" s="109"/>
      <c r="N14" s="109"/>
      <c r="O14" s="70" t="s">
        <v>87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1398608.59</v>
      </c>
      <c r="K15" s="109"/>
      <c r="L15" s="180"/>
      <c r="M15" s="109"/>
      <c r="N15" s="109"/>
      <c r="O15" s="70" t="s">
        <v>88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1398608.59</v>
      </c>
      <c r="K16" s="109"/>
      <c r="L16" s="180"/>
      <c r="M16" s="109"/>
      <c r="N16" s="109"/>
      <c r="O16" s="70" t="s">
        <v>89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80"/>
      <c r="M17" s="109"/>
      <c r="N17" s="109"/>
      <c r="O17" s="70" t="s">
        <v>90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80"/>
      <c r="M18" s="109"/>
      <c r="N18" s="109"/>
      <c r="O18" s="70" t="s">
        <v>91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80"/>
      <c r="M19" s="109"/>
      <c r="N19" s="109"/>
      <c r="O19" s="70" t="s">
        <v>92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80"/>
      <c r="M20" s="109"/>
      <c r="N20" s="109"/>
      <c r="O20" s="70" t="s">
        <v>93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1398608.59</v>
      </c>
      <c r="K21" s="109"/>
      <c r="L21" s="180"/>
      <c r="M21" s="109"/>
      <c r="N21" s="109"/>
      <c r="O21" s="70" t="s">
        <v>94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80"/>
      <c r="M22" s="109"/>
      <c r="N22" s="109"/>
      <c r="O22" s="70" t="s">
        <v>95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80"/>
      <c r="M23" s="109"/>
      <c r="N23" s="109"/>
      <c r="O23" s="70" t="s">
        <v>96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1016400.4280000001</v>
      </c>
      <c r="K24" s="109"/>
      <c r="L24" s="180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290993.48000000004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9">
        <f>VLOOKUP(A29,ПТО!$A$39:$D$53,2,FALSE)</f>
        <v>184791.48000000004</v>
      </c>
      <c r="G29" s="169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9">
        <f>VLOOKUP(A30,ПТО!$A$39:$D$53,2,FALSE)</f>
        <v>115335.37200000002</v>
      </c>
      <c r="G30" s="169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9">
        <f>VLOOKUP(A31,ПТО!$A$39:$D$53,2,FALSE)</f>
        <v>86023.62000000001</v>
      </c>
      <c r="G31" s="169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9">
        <f>VLOOKUP(A33,ПТО!$A$39:$D$53,2,FALSE)</f>
        <v>63721.2</v>
      </c>
      <c r="G33" s="169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9">
        <f>VLOOKUP(A34,ПТО!$A$39:$D$53,2,FALSE)</f>
        <v>170029.402</v>
      </c>
      <c r="G34" s="169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4" t="str">
        <f>ПТО!A46</f>
        <v>Работы по обеспечению пожарной безопасности и охрана ТП</v>
      </c>
      <c r="B35" s="164"/>
      <c r="C35" s="164"/>
      <c r="D35" s="164"/>
      <c r="E35" s="164"/>
      <c r="F35" s="169">
        <f>VLOOKUP(A35,ПТО!$A$39:$D$53,2,FALSE)</f>
        <v>24426.46</v>
      </c>
      <c r="G35" s="169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1"/>
      <c r="M35" s="115"/>
      <c r="N35" s="109"/>
      <c r="O35" s="23" t="str">
        <f t="shared" si="1"/>
        <v>Работы по обеспечению пожарной безопасности и охрана ТП</v>
      </c>
      <c r="R35" s="1" t="s">
        <v>71</v>
      </c>
    </row>
    <row r="36" spans="1:18" ht="51" customHeight="1" outlineLevel="1">
      <c r="A36" s="164" t="str">
        <f>ПТО!A47</f>
        <v>Техническое обслуживание охранной сигнализации</v>
      </c>
      <c r="B36" s="164"/>
      <c r="C36" s="164"/>
      <c r="D36" s="164"/>
      <c r="E36" s="164"/>
      <c r="F36" s="169">
        <f>VLOOKUP(A36,ПТО!$A$39:$D$53,2,FALSE)</f>
        <v>38232.720000000001</v>
      </c>
      <c r="G36" s="169"/>
      <c r="H36" s="42" t="str">
        <f>VLOOKUP(A36,ПТО!$A$39:$D$53,3,FALSE)</f>
        <v>Ежемесячно</v>
      </c>
      <c r="I36" s="165">
        <f>VLOOKUP(A36,ПТО!$A$39:$D$53,4,FALSE)</f>
        <v>12</v>
      </c>
      <c r="J36" s="165"/>
      <c r="K36" s="109"/>
      <c r="L36" s="181"/>
      <c r="M36" s="115"/>
      <c r="N36" s="109"/>
      <c r="O36" s="23" t="str">
        <f t="shared" si="1"/>
        <v>Техническое обслуживание охранной сигнализации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Приобретение и монтаж металлического ограждения (13,7 п/м.).</v>
      </c>
      <c r="B43" s="164"/>
      <c r="C43" s="164"/>
      <c r="D43" s="164"/>
      <c r="E43" s="164"/>
      <c r="F43" s="169">
        <f>VLOOKUP(A43,ПТО!$A$2:$D$31,4,FALSE)</f>
        <v>25345</v>
      </c>
      <c r="G43" s="169"/>
      <c r="H43" s="19" t="str">
        <f>VLOOKUP(A43,ПТО!$A$2:$D$31,2,FALSE)</f>
        <v>разово</v>
      </c>
      <c r="I43" s="165">
        <f>VLOOKUP(A43,ПТО!$A$2:$D$31,3,FALSE)</f>
        <v>1</v>
      </c>
      <c r="J43" s="165"/>
      <c r="K43" s="109"/>
      <c r="L43" s="181"/>
      <c r="M43" s="115"/>
      <c r="N43" s="109"/>
      <c r="O43" s="23" t="str">
        <f t="shared" si="1"/>
        <v>Приобретение и монтаж металлического ограждения (13,7 п/м.).</v>
      </c>
      <c r="R43" s="22" t="s">
        <v>72</v>
      </c>
    </row>
    <row r="44" spans="1:18" ht="51" customHeight="1" outlineLevel="1">
      <c r="A44" s="164" t="str">
        <f>ПТО!A3</f>
        <v>Приобретение и монтаж металлических листов для укрытия парапетов кровли (11 шт.).</v>
      </c>
      <c r="B44" s="164"/>
      <c r="C44" s="164"/>
      <c r="D44" s="164"/>
      <c r="E44" s="164"/>
      <c r="F44" s="169">
        <f>VLOOKUP(A44,ПТО!$A$2:$D$31,4,FALSE)</f>
        <v>13883.5</v>
      </c>
      <c r="G44" s="169"/>
      <c r="H44" s="25" t="str">
        <f>VLOOKUP(A44,ПТО!$A$2:$D$31,2,FALSE)</f>
        <v>разово</v>
      </c>
      <c r="I44" s="165">
        <f>VLOOKUP(A44,ПТО!$A$2:$D$31,3,FALSE)</f>
        <v>1</v>
      </c>
      <c r="J44" s="165"/>
      <c r="K44" s="109"/>
      <c r="L44" s="181"/>
      <c r="M44" s="115"/>
      <c r="N44" s="109"/>
      <c r="O44" s="23" t="str">
        <f t="shared" si="1"/>
        <v>Приобретение и монтаж металлических листов для укрытия парапетов кровли (11 шт.).</v>
      </c>
      <c r="R44" s="22" t="s">
        <v>72</v>
      </c>
    </row>
    <row r="45" spans="1:18" ht="51" customHeight="1" outlineLevel="1">
      <c r="A45" s="164" t="str">
        <f>ПТО!A4</f>
        <v>Благоустройство придомовой территории (срезка и вывоз поврежденного асфальтобетона).</v>
      </c>
      <c r="B45" s="164"/>
      <c r="C45" s="164"/>
      <c r="D45" s="164"/>
      <c r="E45" s="164"/>
      <c r="F45" s="169">
        <f>VLOOKUP(A45,ПТО!$A$2:$D$31,4,FALSE)</f>
        <v>1813.13</v>
      </c>
      <c r="G45" s="169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1"/>
      <c r="M45" s="115"/>
      <c r="N45" s="109"/>
      <c r="O45" s="23" t="str">
        <f t="shared" si="1"/>
        <v>Благоустройство придомовой территории (срезка и вывоз поврежденного асфальтобетона).</v>
      </c>
      <c r="R45" s="22" t="s">
        <v>72</v>
      </c>
    </row>
    <row r="46" spans="1:18" ht="51" customHeight="1" outlineLevel="1">
      <c r="A46" s="164" t="str">
        <f>ПТО!A5</f>
        <v>Замена светильников в лифтах (4 шт.).</v>
      </c>
      <c r="B46" s="164"/>
      <c r="C46" s="164"/>
      <c r="D46" s="164"/>
      <c r="E46" s="164"/>
      <c r="F46" s="169">
        <f>VLOOKUP(A46,ПТО!$A$2:$D$31,4,FALSE)</f>
        <v>2352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1"/>
      <c r="M46" s="115"/>
      <c r="N46" s="109"/>
      <c r="O46" s="23" t="str">
        <f t="shared" si="1"/>
        <v>Замена светильников в лифтах (4 шт.).</v>
      </c>
      <c r="R46" s="22" t="s">
        <v>72</v>
      </c>
    </row>
    <row r="47" spans="1:18" ht="51" customHeight="1" outlineLevel="1">
      <c r="A47" s="164" t="str">
        <f>ПТО!A6</f>
        <v>Приобретение и замена ограничителя скорости пассажирского лифта.</v>
      </c>
      <c r="B47" s="164"/>
      <c r="C47" s="164"/>
      <c r="D47" s="164"/>
      <c r="E47" s="164"/>
      <c r="F47" s="169">
        <f>VLOOKUP(A47,ПТО!$A$2:$D$31,4,FALSE)</f>
        <v>16406.7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1"/>
      <c r="M47" s="115"/>
      <c r="N47" s="109"/>
      <c r="O47" s="23" t="str">
        <f t="shared" si="1"/>
        <v>Приобретение и замена ограничителя скорости пассажирского лифта.</v>
      </c>
      <c r="R47" s="22" t="s">
        <v>72</v>
      </c>
    </row>
    <row r="48" spans="1:18" ht="51" hidden="1" customHeight="1" outlineLevel="1">
      <c r="A48" s="164">
        <f>ПТО!A7</f>
        <v>0</v>
      </c>
      <c r="B48" s="164"/>
      <c r="C48" s="164"/>
      <c r="D48" s="164"/>
      <c r="E48" s="164"/>
      <c r="F48" s="169" t="e">
        <f>VLOOKUP(A48,ПТО!$A$2:$D$31,4,FALSE)</f>
        <v>#N/A</v>
      </c>
      <c r="G48" s="169"/>
      <c r="H48" s="25" t="e">
        <f>VLOOKUP(A48,ПТО!$A$2:$D$31,2,FALSE)</f>
        <v>#N/A</v>
      </c>
      <c r="I48" s="165" t="e">
        <f>VLOOKUP(A48,ПТО!$A$2:$D$31,3,FALSE)</f>
        <v>#N/A</v>
      </c>
      <c r="J48" s="165"/>
      <c r="K48" s="109"/>
      <c r="L48" s="181"/>
      <c r="M48" s="115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64">
        <f>ПТО!A8</f>
        <v>0</v>
      </c>
      <c r="B49" s="164"/>
      <c r="C49" s="164"/>
      <c r="D49" s="164"/>
      <c r="E49" s="164"/>
      <c r="F49" s="169" t="e">
        <f>VLOOKUP(A49,ПТО!$A$2:$D$31,4,FALSE)</f>
        <v>#N/A</v>
      </c>
      <c r="G49" s="169"/>
      <c r="H49" s="25" t="e">
        <f>VLOOKUP(A49,ПТО!$A$2:$D$31,2,FALSE)</f>
        <v>#N/A</v>
      </c>
      <c r="I49" s="165" t="e">
        <f>VLOOKUP(A49,ПТО!$A$2:$D$31,3,FALSE)</f>
        <v>#N/A</v>
      </c>
      <c r="J49" s="165"/>
      <c r="K49" s="109"/>
      <c r="L49" s="181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4">
        <f>ПТО!A9</f>
        <v>0</v>
      </c>
      <c r="B50" s="164"/>
      <c r="C50" s="164"/>
      <c r="D50" s="164"/>
      <c r="E50" s="164"/>
      <c r="F50" s="169" t="e">
        <f>VLOOKUP(A50,ПТО!$A$2:$D$31,4,FALSE)</f>
        <v>#N/A</v>
      </c>
      <c r="G50" s="169"/>
      <c r="H50" s="25" t="e">
        <f>VLOOKUP(A50,ПТО!$A$2:$D$31,2,FALSE)</f>
        <v>#N/A</v>
      </c>
      <c r="I50" s="165" t="e">
        <f>VLOOKUP(A50,ПТО!$A$2:$D$31,3,FALSE)</f>
        <v>#N/A</v>
      </c>
      <c r="J50" s="165"/>
      <c r="K50" s="109"/>
      <c r="L50" s="181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4">
        <f>ПТО!A10</f>
        <v>0</v>
      </c>
      <c r="B51" s="164"/>
      <c r="C51" s="164"/>
      <c r="D51" s="164"/>
      <c r="E51" s="164"/>
      <c r="F51" s="169" t="e">
        <f>VLOOKUP(A51,ПТО!$A$2:$D$31,4,FALSE)</f>
        <v>#N/A</v>
      </c>
      <c r="G51" s="169"/>
      <c r="H51" s="25" t="e">
        <f>VLOOKUP(A51,ПТО!$A$2:$D$31,2,FALSE)</f>
        <v>#N/A</v>
      </c>
      <c r="I51" s="165" t="e">
        <f>VLOOKUP(A51,ПТО!$A$2:$D$31,3,FALSE)</f>
        <v>#N/A</v>
      </c>
      <c r="J51" s="165"/>
      <c r="K51" s="109"/>
      <c r="L51" s="181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4">
        <f>ПТО!A11</f>
        <v>0</v>
      </c>
      <c r="B52" s="164"/>
      <c r="C52" s="164"/>
      <c r="D52" s="164"/>
      <c r="E52" s="164"/>
      <c r="F52" s="169" t="e">
        <f>VLOOKUP(A52,ПТО!$A$2:$D$31,4,FALSE)</f>
        <v>#N/A</v>
      </c>
      <c r="G52" s="169"/>
      <c r="H52" s="25" t="e">
        <f>VLOOKUP(A52,ПТО!$A$2:$D$31,2,FALSE)</f>
        <v>#N/A</v>
      </c>
      <c r="I52" s="165" t="e">
        <f>VLOOKUP(A52,ПТО!$A$2:$D$31,3,FALSE)</f>
        <v>#N/A</v>
      </c>
      <c r="J52" s="165"/>
      <c r="K52" s="109"/>
      <c r="L52" s="181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9"/>
      <c r="L53" s="181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9"/>
      <c r="L54" s="181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1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5"/>
      <c r="L71" s="18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84"/>
      <c r="M75" s="109"/>
      <c r="N75" s="109"/>
      <c r="O75" s="70" t="s">
        <v>98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84"/>
      <c r="M76" s="109"/>
      <c r="N76" s="109"/>
      <c r="O76" s="70" t="s">
        <v>99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84"/>
      <c r="M77" s="109"/>
      <c r="N77" s="109"/>
      <c r="O77" s="70" t="s">
        <v>100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7">
        <f>VLOOKUP(O78,АО,3,FALSE)</f>
        <v>0</v>
      </c>
      <c r="K78" s="109"/>
      <c r="L78" s="184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0"/>
      <c r="M81" s="109"/>
      <c r="N81" s="109"/>
      <c r="O81" s="70" t="s">
        <v>102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0"/>
      <c r="M82" s="109"/>
      <c r="N82" s="109"/>
      <c r="O82" s="70" t="s">
        <v>103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7">
        <f t="shared" si="2"/>
        <v>74950.87</v>
      </c>
      <c r="K83" s="109"/>
      <c r="L83" s="170"/>
      <c r="M83" s="109"/>
      <c r="N83" s="109"/>
      <c r="O83" s="70" t="s">
        <v>104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7">
        <f t="shared" si="2"/>
        <v>0</v>
      </c>
      <c r="K84" s="109"/>
      <c r="L84" s="170"/>
      <c r="M84" s="109"/>
      <c r="N84" s="109"/>
      <c r="O84" s="70" t="s">
        <v>105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7">
        <f t="shared" si="2"/>
        <v>0</v>
      </c>
      <c r="K85" s="109"/>
      <c r="L85" s="170"/>
      <c r="M85" s="109"/>
      <c r="N85" s="109"/>
      <c r="O85" s="70" t="s">
        <v>106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7">
        <f t="shared" si="2"/>
        <v>76074.899999999994</v>
      </c>
      <c r="K86" s="109"/>
      <c r="L86" s="170"/>
      <c r="M86" s="109"/>
      <c r="N86" s="109"/>
      <c r="O86" s="70" t="s">
        <v>107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70"/>
      <c r="M87" s="109"/>
      <c r="N87" s="109"/>
      <c r="O87" s="70" t="s">
        <v>108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70"/>
      <c r="M88" s="109"/>
      <c r="N88" s="109"/>
      <c r="O88" s="70" t="s">
        <v>109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70"/>
      <c r="M89" s="109"/>
      <c r="N89" s="109"/>
      <c r="O89" s="70" t="s">
        <v>110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7">
        <f t="shared" si="2"/>
        <v>0</v>
      </c>
      <c r="K90" s="109"/>
      <c r="L90" s="170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5" t="s">
        <v>48</v>
      </c>
      <c r="B93" s="185"/>
      <c r="C93" s="185"/>
      <c r="D93" s="186" t="s">
        <v>49</v>
      </c>
      <c r="E93" s="186"/>
      <c r="F93" s="10" t="s">
        <v>50</v>
      </c>
      <c r="G93" s="185" t="s">
        <v>51</v>
      </c>
      <c r="H93" s="185"/>
      <c r="I93" s="185"/>
      <c r="J93" s="185"/>
      <c r="K93" s="109"/>
      <c r="L93" s="109"/>
      <c r="M93" s="109"/>
      <c r="N93" s="109"/>
    </row>
    <row r="94" spans="1:15" hidden="1" outlineLevel="1">
      <c r="A94" s="166">
        <f>IF(VLOOKUP("эл",АО,3,FALSE)&gt;0,"Электроснабжение",0)</f>
        <v>0</v>
      </c>
      <c r="B94" s="166"/>
      <c r="C94" s="166"/>
      <c r="D94" s="167">
        <f>IF(VLOOKUP("эл",АО,3,FALSE)&gt;0,VLOOKUP("эл",АО,3,FALSE),0)</f>
        <v>0</v>
      </c>
      <c r="E94" s="167"/>
      <c r="F94" s="13">
        <f>IF(VLOOKUP("эл",АО,3,FALSE)&gt;0,VLOOKUP("эл",АО,4,FALSE),0)</f>
        <v>0</v>
      </c>
      <c r="G94" s="168">
        <f>VLOOKUP("эл",АО,5,FALSE)</f>
        <v>0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hidden="1" outlineLevel="2">
      <c r="A95" s="183">
        <f>IF(VLOOKUP("эл",АО,3,FALSE)&gt;0,VLOOKUP("эл1",АО,2,FALSE),0)</f>
        <v>0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0</v>
      </c>
      <c r="L95" s="171"/>
      <c r="O95" s="1" t="s">
        <v>112</v>
      </c>
    </row>
    <row r="96" spans="1:15" hidden="1" outlineLevel="2">
      <c r="A96" s="183">
        <f>IF(VLOOKUP("эл",АО,3,FALSE)&gt;0,VLOOKUP("эл2",АО,2,FALSE),0)</f>
        <v>0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0</v>
      </c>
      <c r="L96" s="171"/>
      <c r="O96" s="1" t="s">
        <v>113</v>
      </c>
    </row>
    <row r="97" spans="1:15" hidden="1" outlineLevel="2">
      <c r="A97" s="183">
        <f>IF(VLOOKUP("эл",АО,3,FALSE)&gt;0,VLOOKUP("эл3",АО,2,FALSE),0)</f>
        <v>0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71"/>
      <c r="O97" s="1" t="s">
        <v>114</v>
      </c>
    </row>
    <row r="98" spans="1:15" ht="37.5" hidden="1" customHeight="1" outlineLevel="2">
      <c r="A98" s="183">
        <f>IF(VLOOKUP("эл",АО,3,FALSE)&gt;0,VLOOKUP("эл4",АО,2,FALSE),0)</f>
        <v>0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0</v>
      </c>
      <c r="L98" s="171"/>
      <c r="O98" s="1" t="s">
        <v>115</v>
      </c>
    </row>
    <row r="99" spans="1:15" hidden="1" outlineLevel="2">
      <c r="A99" s="183">
        <f>IF(VLOOKUP("эл",АО,3,FALSE)&gt;0,VLOOKUP("эл5",АО,2,FALSE),0)</f>
        <v>0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0</v>
      </c>
      <c r="L99" s="171"/>
      <c r="O99" s="1" t="s">
        <v>116</v>
      </c>
    </row>
    <row r="100" spans="1:15" ht="39" hidden="1" customHeight="1" outlineLevel="2">
      <c r="A100" s="183">
        <f>IF(VLOOKUP("эл",АО,3,FALSE)&gt;0,VLOOKUP("эл6",АО,2,FALSE),0)</f>
        <v>0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117</v>
      </c>
    </row>
    <row r="101" spans="1:15" ht="34.5" hidden="1" customHeight="1" outlineLevel="2">
      <c r="A101" s="183">
        <f>IF(VLOOKUP("эл",АО,3,FALSE)&gt;0,VLOOKUP("эл7",АО,2,FALSE),0)</f>
        <v>0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118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8">
        <f>VLOOKUP("хвс",АО,5,FALSE)</f>
        <v>126057.94999999998</v>
      </c>
      <c r="H102" s="167"/>
      <c r="I102" s="167"/>
      <c r="J102" s="167"/>
      <c r="L102" s="171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9207.6164190129748</v>
      </c>
      <c r="L103" s="171"/>
      <c r="O103" s="1" t="s">
        <v>121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126445.88</v>
      </c>
      <c r="L104" s="171"/>
      <c r="O104" s="1" t="s">
        <v>122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71"/>
      <c r="O105" s="1" t="s">
        <v>123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126057.94999999998</v>
      </c>
      <c r="L106" s="171"/>
      <c r="O106" s="1" t="s">
        <v>124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126057.94999999998</v>
      </c>
      <c r="L107" s="171"/>
      <c r="O107" s="1" t="s">
        <v>125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126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127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8">
        <f>VLOOKUP("воо",АО,5,FALSE)</f>
        <v>255075.14000000004</v>
      </c>
      <c r="H110" s="167"/>
      <c r="I110" s="167"/>
      <c r="J110" s="167"/>
      <c r="L110" s="171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15324.803409921249</v>
      </c>
      <c r="L111" s="171"/>
      <c r="O111" s="1" t="s">
        <v>129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253563.18000000002</v>
      </c>
      <c r="L112" s="171"/>
      <c r="O112" s="1" t="s">
        <v>130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1511.960000000021</v>
      </c>
      <c r="L113" s="171"/>
      <c r="O113" s="1" t="s">
        <v>131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255075.14000000004</v>
      </c>
      <c r="L114" s="171"/>
      <c r="O114" s="1" t="s">
        <v>132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255075.14000000004</v>
      </c>
      <c r="L115" s="171"/>
      <c r="O115" s="1" t="s">
        <v>133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134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135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8">
        <f>VLOOKUP("тко",АО,5,FALSE)</f>
        <v>0</v>
      </c>
      <c r="H118" s="167"/>
      <c r="I118" s="167"/>
      <c r="J118" s="167"/>
      <c r="L118" s="47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8">
        <f>VLOOKUP("гвс",АО,5,FALSE)</f>
        <v>0</v>
      </c>
      <c r="H126" s="167"/>
      <c r="I126" s="167"/>
      <c r="J126" s="167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169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12</v>
      </c>
      <c r="L145" s="15"/>
      <c r="O145" t="s">
        <v>170</v>
      </c>
    </row>
    <row r="146" spans="1:15" ht="30" customHeight="1" outlineLevel="1">
      <c r="A146" s="162" t="s">
        <v>172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67678.78</v>
      </c>
      <c r="O146" t="s">
        <v>171</v>
      </c>
    </row>
    <row r="149" spans="1:15" ht="52.5" customHeight="1">
      <c r="A149" s="187" t="s">
        <v>180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9" t="s">
        <v>191</v>
      </c>
      <c r="B154" s="189"/>
      <c r="C154" s="189"/>
      <c r="D154" s="189"/>
      <c r="E154" s="27">
        <f>ПТО!G1</f>
        <v>-21550.74</v>
      </c>
    </row>
    <row r="155" spans="1:15" ht="34.5" customHeight="1">
      <c r="A155" s="188" t="s">
        <v>192</v>
      </c>
      <c r="B155" s="188"/>
      <c r="C155" s="188"/>
      <c r="D155" s="188"/>
      <c r="E155" s="28">
        <f>J13</f>
        <v>146558.76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4" t="str">
        <f t="shared" ref="A158:A163" si="14">IF(N158&gt;0,N158,0)</f>
        <v>Приобретение и монтаж металлического ограждения (13,7 п/м.).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25345</v>
      </c>
      <c r="G158" s="169"/>
      <c r="H158" s="24" t="str">
        <f t="shared" ref="H158:H187" si="16">VLOOKUP(A158,$A$28:$J$72,8,FALSE)</f>
        <v>разово</v>
      </c>
      <c r="I158" s="165">
        <f t="shared" ref="I158:I161" si="17">VLOOKUP(A158,$A$28:$J$72,9,FALSE)</f>
        <v>1</v>
      </c>
      <c r="J158" s="165"/>
      <c r="M158" s="22" t="s">
        <v>72</v>
      </c>
      <c r="N158" s="1" t="str">
        <f t="array" ref="N158:N187">INDEX($O$43:$O$72,SMALL(IF($M$158=R43:R72,ROW(O43:O72)-42,""),ROW()-157))</f>
        <v>Приобретение и монтаж металлического ограждения (13,7 п/м.).</v>
      </c>
    </row>
    <row r="159" spans="1:15" ht="28.5" customHeight="1">
      <c r="A159" s="164" t="str">
        <f t="shared" si="14"/>
        <v>Приобретение и монтаж металлических листов для укрытия парапетов кровли (11 шт.).</v>
      </c>
      <c r="B159" s="164"/>
      <c r="C159" s="164"/>
      <c r="D159" s="164"/>
      <c r="E159" s="164"/>
      <c r="F159" s="169">
        <f t="shared" si="15"/>
        <v>13883.5</v>
      </c>
      <c r="G159" s="169"/>
      <c r="H159" s="24" t="str">
        <f t="shared" si="16"/>
        <v>разово</v>
      </c>
      <c r="I159" s="165">
        <f t="shared" si="17"/>
        <v>1</v>
      </c>
      <c r="J159" s="165"/>
      <c r="M159" s="22" t="s">
        <v>72</v>
      </c>
      <c r="N159" s="1" t="str">
        <v>Приобретение и монтаж металлических листов для укрытия парапетов кровли (11 шт.).</v>
      </c>
    </row>
    <row r="160" spans="1:15" ht="28.5" customHeight="1">
      <c r="A160" s="164" t="str">
        <f t="shared" si="14"/>
        <v>Благоустройство придомовой территории (срезка и вывоз поврежденного асфальтобетона).</v>
      </c>
      <c r="B160" s="164"/>
      <c r="C160" s="164"/>
      <c r="D160" s="164"/>
      <c r="E160" s="164"/>
      <c r="F160" s="169">
        <f t="shared" si="15"/>
        <v>1813.13</v>
      </c>
      <c r="G160" s="169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Благоустройство придомовой территории (срезка и вывоз поврежденного асфальтобетона).</v>
      </c>
    </row>
    <row r="161" spans="1:14" ht="28.5" customHeight="1">
      <c r="A161" s="164" t="str">
        <f>IF(N161&gt;0,N161,0)</f>
        <v>Замена светильников в лифтах (4 шт.).</v>
      </c>
      <c r="B161" s="164"/>
      <c r="C161" s="164"/>
      <c r="D161" s="164"/>
      <c r="E161" s="164"/>
      <c r="F161" s="169">
        <f t="shared" si="15"/>
        <v>2352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Замена светильников в лифтах (4 шт.).</v>
      </c>
    </row>
    <row r="162" spans="1:14" ht="28.5" customHeight="1">
      <c r="A162" s="164" t="str">
        <f t="shared" si="14"/>
        <v>Приобретение и замена ограничителя скорости пассажирского лифта.</v>
      </c>
      <c r="B162" s="164"/>
      <c r="C162" s="164"/>
      <c r="D162" s="164"/>
      <c r="E162" s="164"/>
      <c r="F162" s="169">
        <f t="shared" si="15"/>
        <v>16406.7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Приобретение и замена ограничителя скорости пассажирского лифта.</v>
      </c>
    </row>
    <row r="163" spans="1:14" ht="28.5" hidden="1" customHeight="1">
      <c r="A163" s="164">
        <f t="shared" si="14"/>
        <v>0</v>
      </c>
      <c r="B163" s="164"/>
      <c r="C163" s="164"/>
      <c r="D163" s="164"/>
      <c r="E163" s="164"/>
      <c r="F163" s="169">
        <f t="shared" si="15"/>
        <v>0</v>
      </c>
      <c r="G163" s="169"/>
      <c r="H163" s="24" t="e">
        <f t="shared" si="16"/>
        <v>#N/A</v>
      </c>
      <c r="I163" s="165" t="e">
        <f>VLOOKUP(A163,$A$28:$J$72,9,FALSE)</f>
        <v>#N/A</v>
      </c>
      <c r="J163" s="165"/>
      <c r="M163" s="22" t="s">
        <v>72</v>
      </c>
      <c r="N163" s="1">
        <v>0</v>
      </c>
    </row>
    <row r="164" spans="1:14" ht="28.5" hidden="1" customHeight="1">
      <c r="A164" s="164">
        <f t="shared" ref="A164:A187" si="18">IF(N164&gt;0,N164,0)</f>
        <v>0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0</v>
      </c>
      <c r="G164" s="169"/>
      <c r="H164" s="29" t="e">
        <f t="shared" si="16"/>
        <v>#N/A</v>
      </c>
      <c r="I164" s="165" t="e">
        <f t="shared" ref="I164:I187" si="20">VLOOKUP(A164,$A$28:$J$72,9,FALSE)</f>
        <v>#N/A</v>
      </c>
      <c r="J164" s="165"/>
      <c r="M164" s="22" t="s">
        <v>72</v>
      </c>
      <c r="N164" s="1">
        <v>0</v>
      </c>
    </row>
    <row r="165" spans="1:14" ht="28.5" hidden="1" customHeight="1">
      <c r="A165" s="164">
        <f t="shared" si="18"/>
        <v>0</v>
      </c>
      <c r="B165" s="164"/>
      <c r="C165" s="164"/>
      <c r="D165" s="164"/>
      <c r="E165" s="164"/>
      <c r="F165" s="169">
        <f t="shared" si="19"/>
        <v>0</v>
      </c>
      <c r="G165" s="169"/>
      <c r="H165" s="29" t="e">
        <f t="shared" si="16"/>
        <v>#N/A</v>
      </c>
      <c r="I165" s="165" t="e">
        <f t="shared" si="20"/>
        <v>#N/A</v>
      </c>
      <c r="J165" s="165"/>
      <c r="M165" s="22" t="s">
        <v>72</v>
      </c>
      <c r="N165" s="1">
        <v>0</v>
      </c>
    </row>
    <row r="166" spans="1:14" ht="28.5" hidden="1" customHeight="1">
      <c r="A166" s="164">
        <f t="shared" si="18"/>
        <v>0</v>
      </c>
      <c r="B166" s="164"/>
      <c r="C166" s="164"/>
      <c r="D166" s="164"/>
      <c r="E166" s="164"/>
      <c r="F166" s="169">
        <f t="shared" si="19"/>
        <v>0</v>
      </c>
      <c r="G166" s="169"/>
      <c r="H166" s="29" t="e">
        <f t="shared" si="16"/>
        <v>#N/A</v>
      </c>
      <c r="I166" s="165" t="e">
        <f t="shared" si="20"/>
        <v>#N/A</v>
      </c>
      <c r="J166" s="165"/>
      <c r="M166" s="22" t="s">
        <v>72</v>
      </c>
      <c r="N166" s="1">
        <v>0</v>
      </c>
    </row>
    <row r="167" spans="1:14" ht="28.5" hidden="1" customHeight="1">
      <c r="A167" s="164">
        <f t="shared" si="18"/>
        <v>0</v>
      </c>
      <c r="B167" s="164"/>
      <c r="C167" s="164"/>
      <c r="D167" s="164"/>
      <c r="E167" s="164"/>
      <c r="F167" s="169">
        <f t="shared" si="19"/>
        <v>0</v>
      </c>
      <c r="G167" s="169"/>
      <c r="H167" s="29" t="e">
        <f t="shared" si="16"/>
        <v>#N/A</v>
      </c>
      <c r="I167" s="165" t="e">
        <f t="shared" si="20"/>
        <v>#N/A</v>
      </c>
      <c r="J167" s="165"/>
      <c r="M167" s="22" t="s">
        <v>72</v>
      </c>
      <c r="N167" s="1">
        <v>0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9">
        <f t="shared" si="19"/>
        <v>0</v>
      </c>
      <c r="G168" s="169"/>
      <c r="H168" s="29" t="e">
        <f t="shared" si="16"/>
        <v>#N/A</v>
      </c>
      <c r="I168" s="165" t="e">
        <f t="shared" si="20"/>
        <v>#N/A</v>
      </c>
      <c r="J168" s="165"/>
      <c r="M168" s="22" t="s">
        <v>72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9">
        <f t="shared" si="19"/>
        <v>0</v>
      </c>
      <c r="G169" s="169"/>
      <c r="H169" s="29" t="e">
        <f t="shared" si="16"/>
        <v>#N/A</v>
      </c>
      <c r="I169" s="165" t="e">
        <f t="shared" si="20"/>
        <v>#N/A</v>
      </c>
      <c r="J169" s="165"/>
      <c r="M169" s="22" t="s">
        <v>72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9">
        <f t="shared" si="19"/>
        <v>0</v>
      </c>
      <c r="G170" s="169"/>
      <c r="H170" s="29" t="e">
        <f t="shared" si="16"/>
        <v>#N/A</v>
      </c>
      <c r="I170" s="165" t="e">
        <f t="shared" si="20"/>
        <v>#N/A</v>
      </c>
      <c r="J170" s="165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9">
        <f t="shared" si="19"/>
        <v>0</v>
      </c>
      <c r="G171" s="169"/>
      <c r="H171" s="29" t="e">
        <f t="shared" si="16"/>
        <v>#N/A</v>
      </c>
      <c r="I171" s="165" t="e">
        <f t="shared" si="20"/>
        <v>#N/A</v>
      </c>
      <c r="J171" s="165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9">
        <f t="shared" si="19"/>
        <v>0</v>
      </c>
      <c r="G172" s="169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9">
        <f t="shared" si="19"/>
        <v>0</v>
      </c>
      <c r="G173" s="169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9">
        <f t="shared" si="19"/>
        <v>0</v>
      </c>
      <c r="G174" s="169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9">
        <f t="shared" si="19"/>
        <v>0</v>
      </c>
      <c r="G175" s="169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9">
        <f t="shared" si="19"/>
        <v>0</v>
      </c>
      <c r="G176" s="169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9">
        <f t="shared" si="19"/>
        <v>0</v>
      </c>
      <c r="G177" s="169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9">
        <f t="shared" si="19"/>
        <v>0</v>
      </c>
      <c r="G178" s="169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9">
        <f t="shared" si="19"/>
        <v>0</v>
      </c>
      <c r="G179" s="169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9" t="s">
        <v>193</v>
      </c>
      <c r="B190" s="189"/>
      <c r="C190" s="189"/>
      <c r="D190" s="189"/>
      <c r="E190" s="27">
        <f>SUM(F158:G187)</f>
        <v>59800.33</v>
      </c>
    </row>
    <row r="191" spans="1:14" ht="51.75" customHeight="1">
      <c r="A191" s="189" t="s">
        <v>211</v>
      </c>
      <c r="B191" s="189"/>
      <c r="C191" s="189"/>
      <c r="D191" s="189"/>
      <c r="E191" s="27">
        <f>E190+E154-E155</f>
        <v>-108309.17000000001</v>
      </c>
    </row>
    <row r="192" spans="1:14">
      <c r="A192" s="104" t="s">
        <v>173</v>
      </c>
    </row>
    <row r="193" spans="1:10" ht="62.25" customHeight="1">
      <c r="A193" s="163" t="s">
        <v>194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9">
        <f>ПТО!G12</f>
        <v>1200</v>
      </c>
      <c r="I194" s="50" t="s">
        <v>74</v>
      </c>
    </row>
    <row r="195" spans="1:10" ht="18.75" customHeight="1">
      <c r="A195" s="161" t="str">
        <f>ПТО!F13</f>
        <v xml:space="preserve">  -  покраска металлического ограждения</v>
      </c>
      <c r="B195" s="161"/>
      <c r="C195" s="161"/>
      <c r="D195" s="161"/>
      <c r="E195" s="161"/>
      <c r="F195" s="161"/>
      <c r="G195" s="161"/>
      <c r="H195" s="49">
        <f>ПТО!G13</f>
        <v>3000</v>
      </c>
      <c r="I195" s="50" t="s">
        <v>74</v>
      </c>
    </row>
    <row r="196" spans="1:10" ht="36" customHeight="1">
      <c r="A196" s="161" t="str">
        <f>ПТО!F14</f>
        <v xml:space="preserve">  -  покраска (обновление) бордюров и разлиновка парковочных мест</v>
      </c>
      <c r="B196" s="161"/>
      <c r="C196" s="161"/>
      <c r="D196" s="161"/>
      <c r="E196" s="161"/>
      <c r="F196" s="161"/>
      <c r="G196" s="161"/>
      <c r="H196" s="49">
        <f>ПТО!G14</f>
        <v>3000</v>
      </c>
      <c r="I196" s="50" t="s">
        <v>74</v>
      </c>
    </row>
    <row r="197" spans="1:10" ht="37.5" customHeight="1">
      <c r="A197" s="161" t="str">
        <f>ПТО!F15</f>
        <v xml:space="preserve">  -  промазка битумным технониколем швов рулонного технониколя, фановых труб, вентиляционных шахт, парапетов и т.п.</v>
      </c>
      <c r="B197" s="161"/>
      <c r="C197" s="161"/>
      <c r="D197" s="161"/>
      <c r="E197" s="161"/>
      <c r="F197" s="161"/>
      <c r="G197" s="161"/>
      <c r="H197" s="49">
        <f>ПТО!G15</f>
        <v>10000</v>
      </c>
      <c r="I197" s="50" t="s">
        <v>74</v>
      </c>
    </row>
    <row r="198" spans="1:10" ht="18.75" customHeight="1">
      <c r="A198" s="161" t="str">
        <f>ПТО!F16</f>
        <v xml:space="preserve">  -  изготовление и монтаж резинопола на крыльцо</v>
      </c>
      <c r="B198" s="161"/>
      <c r="C198" s="161"/>
      <c r="D198" s="161"/>
      <c r="E198" s="161"/>
      <c r="F198" s="161"/>
      <c r="G198" s="161"/>
      <c r="H198" s="49">
        <f>ПТО!G16</f>
        <v>100000</v>
      </c>
      <c r="I198" s="52" t="s">
        <v>74</v>
      </c>
    </row>
    <row r="199" spans="1:10" ht="39" customHeight="1">
      <c r="A199" s="161" t="str">
        <f>ПТО!F17</f>
        <v xml:space="preserve">  -  изготовление и монтаж ограждения по периметру газона (со стороны двора)</v>
      </c>
      <c r="B199" s="161"/>
      <c r="C199" s="161"/>
      <c r="D199" s="161"/>
      <c r="E199" s="161"/>
      <c r="F199" s="161"/>
      <c r="G199" s="161"/>
      <c r="H199" s="49">
        <f>ПТО!G17</f>
        <v>20000</v>
      </c>
      <c r="I199" s="50" t="s">
        <v>74</v>
      </c>
    </row>
    <row r="200" spans="1:10" ht="37.5" customHeight="1">
      <c r="A200" s="161" t="str">
        <f>ПТО!F18</f>
        <v xml:space="preserve">  -  устройство и покраска бетонного пола в машинном отделении лифта</v>
      </c>
      <c r="B200" s="161"/>
      <c r="C200" s="161"/>
      <c r="D200" s="161"/>
      <c r="E200" s="161"/>
      <c r="F200" s="161"/>
      <c r="G200" s="161"/>
      <c r="H200" s="49">
        <f>ПТО!G18</f>
        <v>1000</v>
      </c>
      <c r="I200" s="50" t="s">
        <v>74</v>
      </c>
    </row>
    <row r="201" spans="1:10" ht="19.5" customHeight="1">
      <c r="A201" s="161" t="str">
        <f>ПТО!F19</f>
        <v xml:space="preserve">  -  изготовление, монтаж металлических ограничителей проезда</v>
      </c>
      <c r="B201" s="161"/>
      <c r="C201" s="161"/>
      <c r="D201" s="161"/>
      <c r="E201" s="161"/>
      <c r="F201" s="161"/>
      <c r="G201" s="161"/>
      <c r="H201" s="49">
        <f>ПТО!G19</f>
        <v>3000</v>
      </c>
      <c r="I201" s="50" t="s">
        <v>74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49">
        <f>ПТО!G20</f>
        <v>0</v>
      </c>
      <c r="I202" s="50" t="s">
        <v>74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9">
        <f>ПТО!G21</f>
        <v>0</v>
      </c>
      <c r="I203" s="50" t="s">
        <v>74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9">
        <f>ПТО!G22</f>
        <v>0</v>
      </c>
      <c r="I204" s="50" t="s">
        <v>74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9">
        <f>ПТО!G23</f>
        <v>0</v>
      </c>
      <c r="I205" s="50" t="s">
        <v>74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9">
        <f>ПТО!G24</f>
        <v>0</v>
      </c>
      <c r="I206" s="50" t="s">
        <v>74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9">
        <f>ПТО!G25</f>
        <v>0</v>
      </c>
      <c r="I207" s="50" t="s">
        <v>74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9">
        <f>ПТО!G26</f>
        <v>0</v>
      </c>
      <c r="I208" s="50" t="s">
        <v>74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9">
        <f>ПТО!G27</f>
        <v>0</v>
      </c>
      <c r="I209" s="50" t="s">
        <v>74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9">
        <f>ПТО!G28</f>
        <v>0</v>
      </c>
      <c r="I210" s="50" t="s">
        <v>74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9">
        <f>ПТО!G29</f>
        <v>0</v>
      </c>
      <c r="I211" s="50" t="s">
        <v>74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9">
        <f>ПТО!G30</f>
        <v>0</v>
      </c>
      <c r="I212" s="50" t="s">
        <v>74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141200</v>
      </c>
      <c r="I214" s="56" t="s">
        <v>76</v>
      </c>
    </row>
  </sheetData>
  <sheetProtection algorithmName="SHA-512" hashValue="1IAvbr3O/aI0el2gArMsHg+H2qczQPJaPnuVVKOGg+IKPMtqKUMcK6IYfyvhsZrb3PCHvWl98LdesVlBv7JgXg==" saltValue="ZNO/YnruUWt1CZ/hxre58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191</v>
      </c>
      <c r="G1" s="101">
        <f>-21550.74</f>
        <v>-21550.74</v>
      </c>
    </row>
    <row r="2" spans="1:12" ht="29.25" customHeight="1">
      <c r="A2" s="143" t="s">
        <v>200</v>
      </c>
      <c r="B2" s="144" t="s">
        <v>196</v>
      </c>
      <c r="C2" s="145">
        <v>1</v>
      </c>
      <c r="D2" s="146">
        <v>25345</v>
      </c>
      <c r="E2" s="147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8" t="s">
        <v>198</v>
      </c>
      <c r="B3" s="149" t="s">
        <v>196</v>
      </c>
      <c r="C3" s="150">
        <v>1</v>
      </c>
      <c r="D3" s="151">
        <v>13883.5</v>
      </c>
      <c r="E3" s="124" t="s">
        <v>202</v>
      </c>
      <c r="F3" s="30"/>
      <c r="G3" s="30"/>
      <c r="L3" s="33" t="str">
        <f t="shared" si="0"/>
        <v>ТР</v>
      </c>
    </row>
    <row r="4" spans="1:12" ht="18.75" customHeight="1">
      <c r="A4" s="152" t="s">
        <v>197</v>
      </c>
      <c r="B4" s="153" t="s">
        <v>196</v>
      </c>
      <c r="C4" s="154">
        <v>1</v>
      </c>
      <c r="D4" s="155">
        <v>1813.13</v>
      </c>
      <c r="E4" s="156" t="s">
        <v>203</v>
      </c>
      <c r="F4" s="30"/>
      <c r="G4" s="30"/>
      <c r="L4" s="33" t="str">
        <f t="shared" si="0"/>
        <v>ТР</v>
      </c>
    </row>
    <row r="5" spans="1:12" ht="18.75" customHeight="1">
      <c r="A5" s="143" t="s">
        <v>195</v>
      </c>
      <c r="B5" s="144" t="s">
        <v>196</v>
      </c>
      <c r="C5" s="145">
        <v>1</v>
      </c>
      <c r="D5" s="146">
        <v>2352</v>
      </c>
      <c r="E5" s="147" t="s">
        <v>212</v>
      </c>
      <c r="F5" s="44"/>
      <c r="G5" s="44"/>
      <c r="K5" s="46"/>
      <c r="L5" s="33" t="str">
        <f t="shared" si="0"/>
        <v>ТР</v>
      </c>
    </row>
    <row r="6" spans="1:12" ht="32.25" customHeight="1">
      <c r="A6" s="157" t="s">
        <v>199</v>
      </c>
      <c r="B6" s="158" t="s">
        <v>196</v>
      </c>
      <c r="C6" s="154">
        <v>1</v>
      </c>
      <c r="D6" s="155">
        <v>16406.7</v>
      </c>
      <c r="E6" s="156" t="s">
        <v>209</v>
      </c>
      <c r="F6" s="44"/>
      <c r="G6" s="44"/>
      <c r="K6" s="46"/>
      <c r="L6" s="33" t="str">
        <f t="shared" si="0"/>
        <v>ТР</v>
      </c>
    </row>
    <row r="7" spans="1:12" ht="18.75" customHeight="1">
      <c r="A7" s="131"/>
      <c r="B7" s="132"/>
      <c r="C7" s="118"/>
      <c r="D7" s="120"/>
      <c r="E7" s="120"/>
      <c r="F7" s="45"/>
      <c r="G7" s="45"/>
      <c r="K7" s="46"/>
      <c r="L7" s="33">
        <f t="shared" si="0"/>
        <v>0</v>
      </c>
    </row>
    <row r="8" spans="1:12" ht="18.75" customHeight="1">
      <c r="A8" s="133"/>
      <c r="B8" s="134"/>
      <c r="C8" s="118"/>
      <c r="D8" s="120"/>
      <c r="E8" s="124"/>
      <c r="F8" s="45"/>
      <c r="G8" s="45"/>
      <c r="K8" s="43"/>
      <c r="L8" s="33">
        <f t="shared" si="0"/>
        <v>0</v>
      </c>
    </row>
    <row r="9" spans="1:12">
      <c r="A9" s="133"/>
      <c r="B9" s="134"/>
      <c r="C9" s="118"/>
      <c r="D9" s="120"/>
      <c r="E9" s="124"/>
      <c r="F9" s="44"/>
      <c r="G9" s="44"/>
      <c r="K9" s="43"/>
      <c r="L9" s="33">
        <f t="shared" si="0"/>
        <v>0</v>
      </c>
    </row>
    <row r="10" spans="1:12">
      <c r="A10" s="138"/>
      <c r="B10" s="139"/>
      <c r="C10" s="119"/>
      <c r="D10" s="120"/>
      <c r="E10" s="125"/>
      <c r="L10" s="33">
        <f t="shared" si="0"/>
        <v>0</v>
      </c>
    </row>
    <row r="11" spans="1:12" ht="94.5">
      <c r="A11" s="135"/>
      <c r="B11" s="136"/>
      <c r="C11" s="118"/>
      <c r="D11" s="137"/>
      <c r="E11" s="120"/>
      <c r="F11" s="111" t="s">
        <v>194</v>
      </c>
      <c r="G11" s="111"/>
      <c r="L11" s="33">
        <f t="shared" si="0"/>
        <v>0</v>
      </c>
    </row>
    <row r="12" spans="1:12" ht="31.5">
      <c r="A12" s="117"/>
      <c r="B12" s="118"/>
      <c r="C12" s="119"/>
      <c r="D12" s="120"/>
      <c r="E12" s="125"/>
      <c r="F12" s="112" t="s">
        <v>73</v>
      </c>
      <c r="G12" s="113">
        <v>1200</v>
      </c>
      <c r="L12" s="33">
        <f t="shared" si="0"/>
        <v>0</v>
      </c>
    </row>
    <row r="13" spans="1:12" ht="31.5">
      <c r="A13" s="128"/>
      <c r="B13" s="118"/>
      <c r="C13" s="119"/>
      <c r="D13" s="120"/>
      <c r="E13" s="125"/>
      <c r="F13" s="112" t="s">
        <v>178</v>
      </c>
      <c r="G13" s="113">
        <v>3000</v>
      </c>
      <c r="L13" s="33">
        <f t="shared" si="0"/>
        <v>0</v>
      </c>
    </row>
    <row r="14" spans="1:12" ht="31.5">
      <c r="A14" s="123"/>
      <c r="B14" s="127"/>
      <c r="C14" s="119"/>
      <c r="D14" s="120"/>
      <c r="E14" s="124"/>
      <c r="F14" s="112" t="s">
        <v>179</v>
      </c>
      <c r="G14" s="113">
        <v>3000</v>
      </c>
      <c r="L14" s="33">
        <f t="shared" si="0"/>
        <v>0</v>
      </c>
    </row>
    <row r="15" spans="1:12" ht="63">
      <c r="A15" s="123"/>
      <c r="B15" s="127"/>
      <c r="C15" s="119"/>
      <c r="D15" s="120"/>
      <c r="E15" s="126"/>
      <c r="F15" s="112" t="s">
        <v>204</v>
      </c>
      <c r="G15" s="113">
        <v>10000</v>
      </c>
      <c r="L15" s="33">
        <f t="shared" si="0"/>
        <v>0</v>
      </c>
    </row>
    <row r="16" spans="1:12" ht="31.5">
      <c r="A16" s="128"/>
      <c r="B16" s="129"/>
      <c r="C16" s="119"/>
      <c r="D16" s="120"/>
      <c r="E16" s="130"/>
      <c r="F16" s="112" t="s">
        <v>205</v>
      </c>
      <c r="G16" s="113">
        <v>100000</v>
      </c>
      <c r="L16" s="33">
        <f t="shared" si="0"/>
        <v>0</v>
      </c>
    </row>
    <row r="17" spans="1:12" ht="47.25">
      <c r="A17" s="128"/>
      <c r="B17" s="118"/>
      <c r="C17" s="119"/>
      <c r="D17" s="120"/>
      <c r="E17" s="125"/>
      <c r="F17" s="112" t="s">
        <v>206</v>
      </c>
      <c r="G17" s="113">
        <v>20000</v>
      </c>
      <c r="L17" s="33">
        <f t="shared" si="0"/>
        <v>0</v>
      </c>
    </row>
    <row r="18" spans="1:12" ht="31.5">
      <c r="A18" s="30"/>
      <c r="F18" s="112" t="s">
        <v>207</v>
      </c>
      <c r="G18" s="113">
        <v>1000</v>
      </c>
      <c r="L18" s="33">
        <f t="shared" si="0"/>
        <v>0</v>
      </c>
    </row>
    <row r="19" spans="1:12" ht="31.5">
      <c r="A19" s="30"/>
      <c r="F19" s="112" t="s">
        <v>208</v>
      </c>
      <c r="G19" s="113">
        <v>3000</v>
      </c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60">
        <f>3.75*2*$F$40+4.73*10*$F$40</f>
        <v>290993.48000000004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290993.48000000004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60">
        <f>2.9*2*$F$40+2.9*10*$F$40</f>
        <v>184791.48000000004</v>
      </c>
      <c r="C40" s="38" t="s">
        <v>68</v>
      </c>
      <c r="D40" s="39">
        <v>12</v>
      </c>
      <c r="E40" s="34"/>
      <c r="F40" s="31">
        <f>'Абонентский отдел'!F1</f>
        <v>5310.1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184791.48000000004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60">
        <f>1.81*2*$F$40+1.81*10*$F$40</f>
        <v>115335.37200000002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115335.37200000002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60">
        <f>1.2*2*$F$40+1.38*10*$F$40</f>
        <v>86023.62000000001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86023.62000000001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60">
        <f>1*2*$F$40+1*10*$F$40</f>
        <v>63721.2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63721.2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60">
        <f>1.91*2*$F$40+2.82*10*$F$40</f>
        <v>170029.402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170029.402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190</v>
      </c>
      <c r="B46" s="160">
        <f>0.25*2*$F$40+0.41*10*$F$40</f>
        <v>24426.46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 и охрана ТП</v>
      </c>
      <c r="N46" s="41">
        <f t="shared" si="4"/>
        <v>24426.46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 t="s">
        <v>210</v>
      </c>
      <c r="B47" s="160">
        <f>0.6*2*$F$40+0.6*10*$F$40</f>
        <v>38232.720000000001</v>
      </c>
      <c r="C47" s="38" t="s">
        <v>68</v>
      </c>
      <c r="D47" s="48">
        <v>12</v>
      </c>
      <c r="E47" s="140">
        <v>1237.5</v>
      </c>
      <c r="F47" s="140">
        <v>962.9</v>
      </c>
      <c r="L47" s="40" t="str">
        <f t="shared" si="2"/>
        <v>СОД</v>
      </c>
      <c r="M47" t="str">
        <f t="shared" si="3"/>
        <v>Техническое обслуживание охранной сигнализации</v>
      </c>
      <c r="N47" s="41">
        <f t="shared" si="4"/>
        <v>38232.720000000001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0"/>
      <c r="C48" s="141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2" t="s">
        <v>183</v>
      </c>
      <c r="F52" s="142" t="s">
        <v>184</v>
      </c>
      <c r="G52" s="142" t="s">
        <v>185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2">
        <v>35.896999999999998</v>
      </c>
      <c r="F53" s="140">
        <v>5310.1</v>
      </c>
      <c r="G53" s="142">
        <v>3.83</v>
      </c>
      <c r="H53" s="142">
        <f>G53*E47/F53</f>
        <v>0.89256793657369915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2"/>
      <c r="F54" s="142" t="s">
        <v>186</v>
      </c>
      <c r="G54" s="142" t="s">
        <v>187</v>
      </c>
      <c r="H54" s="142">
        <f>H53*G56</f>
        <v>56.142523210485678</v>
      </c>
    </row>
    <row r="55" spans="5:16">
      <c r="E55" s="142"/>
      <c r="F55" s="142">
        <v>1.17</v>
      </c>
      <c r="G55" s="142">
        <v>1.23</v>
      </c>
      <c r="H55" s="142"/>
    </row>
    <row r="56" spans="5:16">
      <c r="E56" s="142"/>
      <c r="F56" s="142"/>
      <c r="G56" s="142">
        <v>62.9</v>
      </c>
      <c r="H56" s="142"/>
    </row>
    <row r="57" spans="5:16">
      <c r="E57" s="142"/>
      <c r="F57" s="142"/>
      <c r="G57" s="142"/>
      <c r="H57" s="142"/>
    </row>
    <row r="58" spans="5:16">
      <c r="E58" s="142" t="s">
        <v>188</v>
      </c>
      <c r="F58" s="142"/>
      <c r="G58" s="142"/>
      <c r="H58" s="142"/>
    </row>
    <row r="59" spans="5:16">
      <c r="E59" s="142">
        <v>0.59599999999999997</v>
      </c>
      <c r="F59" s="140">
        <f>F53</f>
        <v>5310.1</v>
      </c>
      <c r="G59" s="142">
        <v>7.4999999999999997E-2</v>
      </c>
      <c r="H59" s="142">
        <f>G59*F47</f>
        <v>72.217500000000001</v>
      </c>
    </row>
    <row r="60" spans="5:16">
      <c r="E60" s="142"/>
      <c r="F60" s="142" t="s">
        <v>186</v>
      </c>
      <c r="G60" s="142" t="s">
        <v>187</v>
      </c>
      <c r="H60" s="142">
        <f>H59/F59</f>
        <v>1.3600026364851886E-2</v>
      </c>
    </row>
    <row r="61" spans="5:16">
      <c r="E61" s="142"/>
      <c r="F61" s="142">
        <v>12.94</v>
      </c>
      <c r="G61" s="142">
        <v>13.45</v>
      </c>
      <c r="H61" s="142">
        <f>H60*G56</f>
        <v>0.85544165834918362</v>
      </c>
    </row>
    <row r="62" spans="5:16">
      <c r="E62" s="142" t="s">
        <v>189</v>
      </c>
      <c r="F62" s="142"/>
      <c r="G62" s="142"/>
      <c r="H62" s="142"/>
    </row>
    <row r="63" spans="5:16">
      <c r="E63" s="142">
        <v>0.59599999999999997</v>
      </c>
      <c r="F63" s="140">
        <f>F53</f>
        <v>5310.1</v>
      </c>
      <c r="G63" s="142">
        <v>7.4999999999999997E-2</v>
      </c>
      <c r="H63" s="142">
        <f>G63*F47</f>
        <v>72.217500000000001</v>
      </c>
    </row>
    <row r="64" spans="5:16">
      <c r="E64" s="142"/>
      <c r="F64" s="142" t="s">
        <v>186</v>
      </c>
      <c r="G64" s="142" t="s">
        <v>187</v>
      </c>
      <c r="H64" s="142">
        <f>H63/F63</f>
        <v>1.3600026364851886E-2</v>
      </c>
    </row>
    <row r="65" spans="4:13" ht="18.75" customHeight="1">
      <c r="E65" s="142"/>
      <c r="F65" s="142">
        <v>15.73</v>
      </c>
      <c r="G65" s="142">
        <v>16.350000000000001</v>
      </c>
      <c r="H65" s="142">
        <f>H64*G56</f>
        <v>0.85544165834918362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8fnGDOhgSyBgNUBPeKnBeZmH8joHlCqukqrXFeNsBJImWHnGi67FGMfCp8jb944+IpNVXuvyfoKZ7wcmm12PQ==" saltValue="e9PU3++Uz/ut4MMaGkzav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6" sqref="C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5310.1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1">
        <v>2.2400000000000002</v>
      </c>
      <c r="F2" s="122" t="s">
        <v>177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21">
        <v>2.2999999999999998</v>
      </c>
      <c r="F3" s="122" t="s">
        <v>181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1048826.49</v>
      </c>
      <c r="D4" s="81" t="s">
        <v>60</v>
      </c>
      <c r="E4" s="61"/>
      <c r="F4" s="61" t="s">
        <v>182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1366182.5279999999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f>13.84*F1*2+16*F1*10</f>
        <v>996599.56799999997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F1*2.3*12</f>
        <v>146558.76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f>3.5*12*F1</f>
        <v>223024.2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1398608.59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1398608.59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1398608.59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1016400.4280000001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1"/>
      <c r="N26" s="63"/>
    </row>
    <row r="27" spans="1:15" ht="18.75" customHeight="1">
      <c r="A27" s="70" t="s">
        <v>104</v>
      </c>
      <c r="B27" s="75" t="s">
        <v>4</v>
      </c>
      <c r="C27" s="86">
        <v>74950.87</v>
      </c>
      <c r="D27" s="81" t="s">
        <v>60</v>
      </c>
      <c r="E27" s="64"/>
      <c r="F27" s="64"/>
      <c r="G27" s="64"/>
      <c r="H27" s="64"/>
      <c r="I27" s="64"/>
      <c r="J27" s="64"/>
      <c r="M27" s="19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1"/>
      <c r="N29" s="63"/>
    </row>
    <row r="30" spans="1:15" ht="18.75" customHeight="1">
      <c r="A30" s="70" t="s">
        <v>107</v>
      </c>
      <c r="B30" s="75" t="s">
        <v>18</v>
      </c>
      <c r="C30" s="86">
        <f>C27+1124.03</f>
        <v>76074.899999999994</v>
      </c>
      <c r="D30" s="81" t="s">
        <v>66</v>
      </c>
      <c r="E30" s="64"/>
      <c r="F30" s="64"/>
      <c r="G30" s="64"/>
      <c r="H30" s="64"/>
      <c r="I30" s="64"/>
      <c r="J30" s="64"/>
      <c r="M30" s="19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90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90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9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159"/>
      <c r="G41" s="67"/>
      <c r="H41" s="67"/>
      <c r="L41" s="63"/>
      <c r="M41" s="19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159"/>
      <c r="G42" s="67"/>
      <c r="H42" s="67"/>
      <c r="L42" s="63"/>
      <c r="M42" s="19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159"/>
      <c r="G43" s="67"/>
      <c r="H43" s="67"/>
      <c r="L43" s="63"/>
      <c r="M43" s="19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126057.94999999998</v>
      </c>
      <c r="F45" s="94" t="s">
        <v>166</v>
      </c>
      <c r="G45" s="66"/>
      <c r="H45" s="66"/>
      <c r="L45" s="63"/>
      <c r="M45" s="19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9207.6164190129748</v>
      </c>
      <c r="D46" s="94" t="s">
        <v>167</v>
      </c>
      <c r="E46" s="68"/>
      <c r="G46" s="67"/>
      <c r="H46" s="67"/>
      <c r="L46" s="63"/>
      <c r="M46" s="19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126445.88</v>
      </c>
      <c r="D47" s="94" t="s">
        <v>165</v>
      </c>
      <c r="E47" s="68"/>
      <c r="G47" s="67"/>
      <c r="H47" s="67"/>
      <c r="L47" s="63"/>
      <c r="M47" s="19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126057.94999999998</v>
      </c>
      <c r="D49" s="80" t="s">
        <v>59</v>
      </c>
      <c r="E49" s="68"/>
      <c r="G49" s="67"/>
      <c r="H49" s="67"/>
      <c r="L49" s="63"/>
      <c r="M49" s="19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126057.94999999998</v>
      </c>
      <c r="D50" s="80" t="s">
        <v>59</v>
      </c>
      <c r="E50" s="68"/>
      <c r="G50" s="67"/>
      <c r="H50" s="67"/>
      <c r="L50" s="63"/>
      <c r="M50" s="19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255075.14000000004</v>
      </c>
      <c r="F53" s="94" t="s">
        <v>166</v>
      </c>
      <c r="G53" s="66"/>
      <c r="H53" s="66"/>
      <c r="L53" s="63"/>
      <c r="M53" s="190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15324.803409921249</v>
      </c>
      <c r="D54" s="94" t="s">
        <v>167</v>
      </c>
      <c r="E54" s="69"/>
      <c r="F54" s="89"/>
      <c r="G54" s="64"/>
      <c r="H54" s="64"/>
      <c r="L54" s="63"/>
      <c r="M54" s="19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253563.18000000002</v>
      </c>
      <c r="D55" s="94" t="s">
        <v>165</v>
      </c>
      <c r="E55" s="69"/>
      <c r="G55" s="64"/>
      <c r="H55" s="64"/>
      <c r="L55" s="63"/>
      <c r="M55" s="19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1511.960000000021</v>
      </c>
      <c r="D56" s="80" t="s">
        <v>59</v>
      </c>
      <c r="E56" s="69"/>
      <c r="G56" s="64"/>
      <c r="H56" s="64"/>
      <c r="L56" s="63"/>
      <c r="M56" s="19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255075.14000000004</v>
      </c>
      <c r="D57" s="80" t="s">
        <v>59</v>
      </c>
      <c r="E57" s="69"/>
      <c r="G57" s="64"/>
      <c r="H57" s="64"/>
      <c r="L57" s="63"/>
      <c r="M57" s="19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255075.14000000004</v>
      </c>
      <c r="D58" s="80" t="s">
        <v>59</v>
      </c>
      <c r="E58" s="69"/>
      <c r="G58" s="64"/>
      <c r="H58" s="64"/>
      <c r="L58" s="63"/>
      <c r="M58" s="19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67678.78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2023-03-31T03:07:13Z</dcterms:modified>
</cp:coreProperties>
</file>