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C30" i="3" l="1"/>
  <c r="C6" i="3"/>
  <c r="C8" i="3"/>
  <c r="G1" i="2" l="1"/>
  <c r="H63" i="2" l="1"/>
  <c r="F63" i="2"/>
  <c r="H59" i="2"/>
  <c r="F59" i="2"/>
  <c r="H53" i="2"/>
  <c r="H54" i="2" s="1"/>
  <c r="H64" i="2" l="1"/>
  <c r="H65" i="2" s="1"/>
  <c r="H60" i="2"/>
  <c r="H61" i="2" s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8" i="1"/>
  <c r="A96" i="1"/>
  <c r="A95" i="1"/>
  <c r="G94" i="1"/>
  <c r="D94" i="1"/>
  <c r="A94" i="1"/>
  <c r="K94" i="1"/>
  <c r="F102" i="1" l="1"/>
  <c r="A108" i="1"/>
  <c r="D102" i="1"/>
  <c r="A104" i="1"/>
  <c r="A111" i="1"/>
  <c r="A113" i="1"/>
  <c r="A123" i="1"/>
  <c r="A119" i="1"/>
  <c r="A118" i="1"/>
  <c r="F110" i="1"/>
  <c r="A114" i="1"/>
  <c r="A117" i="1"/>
  <c r="D118" i="1"/>
  <c r="A120" i="1"/>
  <c r="A124" i="1"/>
  <c r="A110" i="1"/>
  <c r="A115" i="1"/>
  <c r="F118" i="1"/>
  <c r="A125" i="1"/>
  <c r="A121" i="1"/>
  <c r="D110" i="1"/>
  <c r="A112" i="1"/>
  <c r="A141" i="1"/>
  <c r="F134" i="1"/>
  <c r="A137" i="1"/>
  <c r="A106" i="1"/>
  <c r="A138" i="1"/>
  <c r="F94" i="1"/>
  <c r="A97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7" i="1"/>
  <c r="H182" i="1"/>
  <c r="F182" i="1"/>
  <c r="H181" i="1"/>
  <c r="H180" i="1"/>
  <c r="H171" i="1"/>
  <c r="H177" i="1"/>
  <c r="F177" i="1"/>
  <c r="F173" i="1"/>
  <c r="F169" i="1"/>
  <c r="H167" i="1"/>
  <c r="F167" i="1"/>
  <c r="H169" i="1"/>
  <c r="F171" i="1"/>
  <c r="H173" i="1"/>
  <c r="H172" i="1"/>
  <c r="H164" i="1"/>
  <c r="F179" i="1"/>
  <c r="F172" i="1"/>
  <c r="F165" i="1"/>
  <c r="F180" i="1"/>
  <c r="F178" i="1"/>
  <c r="H178" i="1"/>
  <c r="H179" i="1"/>
  <c r="F164" i="1"/>
  <c r="H168" i="1"/>
  <c r="F184" i="1"/>
  <c r="H187" i="1"/>
  <c r="F181" i="1"/>
  <c r="F168" i="1"/>
  <c r="H184" i="1"/>
  <c r="H176" i="1"/>
  <c r="H186" i="1"/>
  <c r="H166" i="1"/>
  <c r="F185" i="1"/>
  <c r="F175" i="1"/>
  <c r="F170" i="1"/>
  <c r="H165" i="1"/>
  <c r="H170" i="1"/>
  <c r="F176" i="1"/>
  <c r="F186" i="1"/>
  <c r="H185" i="1"/>
  <c r="F166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<sst xmlns="http://schemas.openxmlformats.org/spreadsheetml/2006/main" count="574" uniqueCount="220">
  <si>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</si>
  <si>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</si>
  <si>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</si>
  <si>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</si>
  <si>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</si>
  <si>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</si>
  <si>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</si>
  <si>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</si>
  <si>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</si>
  <si>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</si>
  <si>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</si>
  <si>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</si>
  <si>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</si>
  <si>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</si>
  <si>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</si>
  <si>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</si>
  <si>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</si>
  <si>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</si>
  <si>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</si>
  <si>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</si>
  <si>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</si>
  <si>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</si>
  <si>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</si>
  <si>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</si>
  <si>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</si>
  <si>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</si>
  <si>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</si>
  <si>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</si>
  <si>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</si>
  <si>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</si>
  <si>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</si>
  <si>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</si>
  <si>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</si>
  <si>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</si>
  <si>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</si>
  <si>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</si>
  <si>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</si>
  <si>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</si>
  <si>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</si>
  <si>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</si>
  <si>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</si>
  <si>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</si>
  <si>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</si>
  <si>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</si>
  <si>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</si>
  <si>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</si>
  <si>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</si>
  <si>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</si>
  <si>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</si>
  <si>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</si>
  <si>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</si>
  <si>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</si>
  <si>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</si>
  <si>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</si>
  <si>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</si>
  <si>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</si>
  <si>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</si>
  <si>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</si>
  <si>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</si>
  <si>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</si>
  <si>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</si>
  <si>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</si>
  <si>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</si>
  <si>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</si>
  <si>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</si>
  <si>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</si>
  <si>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</si>
  <si>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</si>
  <si>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</si>
  <si>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</si>
  <si>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</si>
  <si>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</si>
  <si>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</si>
  <si>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</si>
  <si>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</si>
  <si>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</si>
  <si>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</si>
  <si>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</si>
  <si>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</si>
  <si>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</si>
  <si>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</si>
  <si>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</si>
  <si>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</si>
  <si>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</si>
  <si>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</si>
  <si>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</si>
  <si>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</si>
  <si>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</si>
  <si>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</si>
  <si>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</si>
  <si>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</si>
  <si>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</si>
  <si>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</si>
  <si>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</si>
  <si>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</si>
  <si>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</si>
  <si>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</si>
  <si>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</si>
  <si>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</si>
  <si>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</si>
  <si>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</si>
  <si>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</si>
  <si>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</si>
  <si>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</si>
  <si>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</si>
  <si>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</si>
  <si>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</si>
  <si>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</si>
  <si>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</si>
  <si>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</si>
  <si>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</si>
  <si>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</si>
  <si>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</si>
  <si>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</si>
  <si>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</si>
  <si>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</si>
  <si>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</si>
  <si>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</si>
  <si>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</si>
  <si>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</si>
  <si>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</si>
  <si>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</si>
  <si>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</si>
  <si>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</si>
  <si>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</si>
  <si>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</si>
  <si>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</si>
  <si>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</si>
  <si>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</si>
  <si>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</si>
  <si>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</si>
  <si>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</si>
  <si>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</si>
  <si>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</si>
  <si>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</si>
  <si>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</si>
  <si>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</si>
  <si>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</si>
  <si>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</si>
  <si>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</si>
  <si>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</si>
  <si>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</si>
  <si>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</si>
  <si>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</si>
  <si>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</si>
  <si>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</si>
  <si>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</si>
  <si>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</si>
  <si>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</si>
  <si>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</si>
  <si>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</si>
  <si>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</si>
  <si>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</si>
  <si>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</si>
  <si>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</si>
  <si>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</si>
  <si>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</si>
  <si>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</si>
  <si>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</si>
  <si>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</si>
  <si>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</si>
  <si>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</si>
  <si>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</si>
  <si>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</si>
  <si>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</si>
  <si>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</si>
  <si>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</si>
  <si>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</si>
  <si>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</si>
  <si>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</si>
  <si>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</si>
  <si>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</si>
  <si>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</si>
  <si>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</si>
  <si>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</si>
  <si>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309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</si>
  <si>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</si>
  <si>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</si>
  <si>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</si>
  <si>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</si>
  <si>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</si>
  <si>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</si>
  <si>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с 01.06.2019 приказ №24 от 18.06.2019, протокол №2 от 22.05.2019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</si>
  <si>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</si>
  <si>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</si>
  <si>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</si>
  <si>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</si>
  <si>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</si>
  <si>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309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</si>
  <si>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</si>
  <si>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</si>
  <si>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</si>
  <si>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</si>
  <si>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</si>
  <si>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</si>
  <si>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</si>
  <si>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</si>
  <si>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</si>
  <si>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изготовление и монтаж металлического ограждения газонов ( со стороны Байкальского тракта)</t>
  </si>
  <si>
    <t xml:space="preserve">  -  изготовление и монтаж алюминиевых  переходных дверей  на цокольном этаже 3 шт. </t>
  </si>
  <si>
    <t xml:space="preserve">  -  устройство и покраска бетонного пола в машинном отделении лифта.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</si>
  <si>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</si>
  <si>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</si>
  <si>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</si>
  <si>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</si>
  <si>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</si>
  <si>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Замена светильников в лифтах (4 шт.).</t>
  </si>
  <si>
    <t>разово</t>
  </si>
  <si>
    <t>Испытание пожарных кранов (32 шт.).</t>
  </si>
  <si>
    <t>Благоустройство придомовой территории (срезка и вывоз поврежденного асфальтобетона).</t>
  </si>
  <si>
    <t>Приобретение и замена межтамбурных дверей (2 шт., цоколь).</t>
  </si>
  <si>
    <t>АВР 1/22 от 14.09.2022, счет №5528 от 26.04.2022</t>
  </si>
  <si>
    <t xml:space="preserve">  -  изготовление, монтаж металлических панелей для закрытия сейсмопоясов МКД</t>
  </si>
  <si>
    <t xml:space="preserve">  -  косметический ремонт цокольного этажа (укладка плитки на стены)</t>
  </si>
  <si>
    <t>АВР 2/22 от 16.12.2022</t>
  </si>
  <si>
    <t>АВР 3/22 от 16.12.2022</t>
  </si>
  <si>
    <t>АВР 4/22 от 16.12.2022</t>
  </si>
  <si>
    <t>АВР 5/22 от 16.12.2022, Решение, счет №2 от 13.01.2022</t>
  </si>
  <si>
    <t>АВР 6/22 от 16.12.2022, Решение, счет №2324 от 13.04.2022</t>
  </si>
  <si>
    <t>АВР 7/22 от 16.12.2022, Решение, счет №2-14158а от 06.09.2022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</si>
</sst>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</cellStyleXfs>
  <cellXfs count="201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5" fillId="0" borderId="0" xfId="6" applyFill="1" applyBorder="1" applyAlignment="1">
      <alignment horizontal="center"/>
    </xf>
    <xf numFmtId="0" fontId="29" fillId="0" borderId="0" xfId="6" applyFont="1" applyFill="1" applyBorder="1" applyAlignment="1">
      <alignment horizontal="center"/>
    </xf>
    <xf numFmtId="4" fontId="29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29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6" applyFont="1" applyFill="1" applyBorder="1" applyAlignment="1">
      <alignment horizontal="center"/>
    </xf>
    <xf numFmtId="0" fontId="14" fillId="0" borderId="0" xfId="2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/>
    <xf numFmtId="0" fontId="11" fillId="0" borderId="0" xfId="6" applyFont="1" applyFill="1" applyBorder="1" applyAlignment="1"/>
    <xf numFmtId="0" fontId="11" fillId="0" borderId="0" xfId="6" applyFont="1" applyFill="1" applyBorder="1" applyAlignment="1">
      <alignment horizontal="center"/>
    </xf>
    <xf numFmtId="0" fontId="39" fillId="0" borderId="0" xfId="12" applyFont="1" applyFill="1" applyBorder="1" applyAlignment="1"/>
    <xf numFmtId="0" fontId="10" fillId="0" borderId="0" xfId="13" applyFont="1" applyFill="1" applyBorder="1" applyAlignment="1">
      <alignment horizontal="center"/>
    </xf>
    <xf numFmtId="0" fontId="10" fillId="0" borderId="0" xfId="13" applyFill="1" applyBorder="1" applyAlignment="1">
      <alignment horizontal="center"/>
    </xf>
    <xf numFmtId="4" fontId="10" fillId="0" borderId="0" xfId="13" applyNumberFormat="1" applyFill="1" applyBorder="1" applyAlignment="1"/>
    <xf numFmtId="4" fontId="29" fillId="0" borderId="0" xfId="13" applyNumberFormat="1" applyFont="1" applyFill="1" applyBorder="1" applyAlignment="1"/>
    <xf numFmtId="0" fontId="9" fillId="0" borderId="0" xfId="16" applyFont="1" applyFill="1" applyBorder="1" applyAlignment="1"/>
    <xf numFmtId="0" fontId="9" fillId="0" borderId="0" xfId="16" applyFont="1" applyFill="1" applyBorder="1" applyAlignment="1">
      <alignment horizontal="center"/>
    </xf>
    <xf numFmtId="0" fontId="9" fillId="0" borderId="0" xfId="16" applyFill="1" applyBorder="1" applyAlignment="1">
      <alignment horizontal="center"/>
    </xf>
    <xf numFmtId="4" fontId="29" fillId="0" borderId="0" xfId="16" applyNumberFormat="1" applyFont="1" applyFill="1" applyBorder="1" applyAlignment="1"/>
    <xf numFmtId="0" fontId="8" fillId="0" borderId="0" xfId="20" applyFont="1" applyFill="1" applyBorder="1" applyAlignment="1">
      <alignment horizontal="center"/>
    </xf>
    <xf numFmtId="0" fontId="8" fillId="0" borderId="0" xfId="20" applyFill="1" applyBorder="1" applyAlignment="1">
      <alignment horizontal="center"/>
    </xf>
    <xf numFmtId="4" fontId="29" fillId="0" borderId="0" xfId="20" applyNumberFormat="1" applyFont="1" applyFill="1" applyBorder="1" applyAlignment="1"/>
    <xf numFmtId="4" fontId="29" fillId="0" borderId="0" xfId="20" applyNumberFormat="1" applyFont="1" applyFill="1" applyBorder="1" applyAlignment="1">
      <alignment horizontal="left"/>
    </xf>
    <xf numFmtId="0" fontId="7" fillId="0" borderId="0" xfId="6" applyFont="1" applyFill="1" applyBorder="1" applyAlignment="1">
      <alignment horizontal="center"/>
    </xf>
    <xf numFmtId="0" fontId="5" fillId="0" borderId="0" xfId="20" applyFont="1" applyFill="1" applyBorder="1" applyAlignment="1"/>
    <xf numFmtId="0" fontId="5" fillId="0" borderId="0" xfId="5" applyFont="1" applyFill="1" applyBorder="1" applyAlignment="1"/>
    <xf numFmtId="4" fontId="40" fillId="0" borderId="0" xfId="0" applyNumberFormat="1" applyFont="1"/>
    <xf numFmtId="4" fontId="31" fillId="3" borderId="0" xfId="2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6" fillId="0" borderId="0" xfId="16" applyFon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5" fillId="0" borderId="0" xfId="5" applyFill="1" applyBorder="1" applyAlignment="1">
      <alignment horizontal="center"/>
    </xf>
    <xf numFmtId="4" fontId="29" fillId="0" borderId="0" xfId="5" applyNumberFormat="1" applyFont="1" applyFill="1" applyBorder="1" applyAlignment="1"/>
    <xf numFmtId="4" fontId="29" fillId="0" borderId="0" xfId="5" applyNumberFormat="1" applyFont="1" applyFill="1" applyBorder="1" applyAlignment="1">
      <alignment horizontal="left"/>
    </xf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0" fontId="15" fillId="0" borderId="0" xfId="6" applyFill="1" applyBorder="1" applyAlignment="1"/>
    <xf numFmtId="0" fontId="29" fillId="0" borderId="0" xfId="7" applyFont="1" applyFill="1" applyBorder="1" applyAlignment="1">
      <alignment wrapText="1"/>
    </xf>
    <xf numFmtId="0" fontId="29" fillId="0" borderId="0" xfId="7" applyFont="1" applyFill="1" applyBorder="1" applyAlignment="1">
      <alignment horizontal="center"/>
    </xf>
    <xf numFmtId="1" fontId="29" fillId="0" borderId="0" xfId="7" applyNumberFormat="1" applyFont="1" applyFill="1" applyBorder="1" applyAlignment="1">
      <alignment horizontal="center"/>
    </xf>
    <xf numFmtId="4" fontId="29" fillId="0" borderId="0" xfId="7" applyNumberFormat="1" applyFont="1" applyFill="1" applyBorder="1" applyAlignment="1"/>
    <xf numFmtId="0" fontId="29" fillId="0" borderId="0" xfId="8" applyFont="1" applyFill="1"/>
    <xf numFmtId="0" fontId="39" fillId="0" borderId="0" xfId="5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1" fillId="0" borderId="0" xfId="6" applyFont="1" applyFill="1" applyBorder="1" applyAlignment="1"/>
    <xf numFmtId="0" fontId="1" fillId="0" borderId="0" xfId="6" applyFont="1" applyFill="1" applyBorder="1" applyAlignment="1">
      <alignment horizontal="center"/>
    </xf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5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3" xfId="23"/>
    <cellStyle name="Обычный 2 4" xfId="9"/>
    <cellStyle name="Обычный 2 5" xfId="17"/>
    <cellStyle name="Обычный 2 5 2" xfId="24"/>
    <cellStyle name="Обычный 3" xfId="2"/>
    <cellStyle name="Обычный 3 2" xfId="10"/>
    <cellStyle name="Обычный 3 3" xfId="18"/>
    <cellStyle name="Обычный 4" xfId="4"/>
    <cellStyle name="Обычный 4 2" xfId="6"/>
    <cellStyle name="Обычный 4 2 2" xfId="13"/>
    <cellStyle name="Обычный 4 2 3" xfId="16"/>
    <cellStyle name="Обычный 4 2 4" xfId="21"/>
    <cellStyle name="Обычный 4 3" xfId="11"/>
    <cellStyle name="Обычный 4 4" xfId="19"/>
    <cellStyle name="Обычный 5" xfId="5"/>
    <cellStyle name="Обычный 5 2" xfId="12"/>
    <cellStyle name="Обычный 5 3" xfId="7"/>
    <cellStyle name="Обычный 5 3 2" xfId="14"/>
    <cellStyle name="Обычный 5 3 3" xfId="22"/>
    <cellStyle name="Обычный 5 4" xfId="2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202" sqref="H20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7" t="s">
        <v>175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1" t="s">
        <v>1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8"/>
      <c r="M8" s="109"/>
      <c r="N8" s="109"/>
      <c r="O8" s="70" t="s">
        <v>81</v>
      </c>
      <c r="R8" s="16"/>
    </row>
    <row r="9" spans="1:18" ht="18.75" customHeight="1" outlineLevel="1">
      <c r="A9" s="181" t="s">
        <v>2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8"/>
      <c r="M9" s="109"/>
      <c r="N9" s="109"/>
      <c r="O9" s="70" t="s">
        <v>82</v>
      </c>
    </row>
    <row r="10" spans="1:18" ht="18.75" customHeight="1" outlineLevel="1">
      <c r="A10" s="181" t="s">
        <v>3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1028419.4000000004</v>
      </c>
      <c r="K10" s="109"/>
      <c r="L10" s="188"/>
      <c r="M10" s="109"/>
      <c r="N10" s="109"/>
      <c r="O10" s="70" t="s">
        <v>83</v>
      </c>
    </row>
    <row r="11" spans="1:18" outlineLevel="1">
      <c r="A11" s="181" t="s">
        <v>4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1313744.3999999999</v>
      </c>
      <c r="K11" s="109"/>
      <c r="L11" s="188"/>
      <c r="M11" s="109"/>
      <c r="N11" s="109"/>
      <c r="O11" s="70" t="s">
        <v>84</v>
      </c>
    </row>
    <row r="12" spans="1:18" ht="18.75" customHeight="1" outlineLevel="1">
      <c r="A12" s="181" t="s">
        <v>5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739778.39999999991</v>
      </c>
      <c r="K12" s="109"/>
      <c r="L12" s="188"/>
      <c r="M12" s="109"/>
      <c r="N12" s="109"/>
      <c r="O12" s="70" t="s">
        <v>85</v>
      </c>
    </row>
    <row r="13" spans="1:18" ht="18.75" customHeight="1" outlineLevel="1">
      <c r="A13" s="181" t="s">
        <v>6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255096</v>
      </c>
      <c r="K13" s="109"/>
      <c r="L13" s="188"/>
      <c r="M13" s="109"/>
      <c r="N13" s="109"/>
      <c r="O13" s="70" t="s">
        <v>86</v>
      </c>
    </row>
    <row r="14" spans="1:18" ht="18.75" customHeight="1" outlineLevel="1">
      <c r="A14" s="181" t="s">
        <v>7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318870</v>
      </c>
      <c r="K14" s="109"/>
      <c r="L14" s="188"/>
      <c r="M14" s="109"/>
      <c r="N14" s="109"/>
      <c r="O14" s="70" t="s">
        <v>87</v>
      </c>
    </row>
    <row r="15" spans="1:18" ht="18.75" customHeight="1" outlineLevel="1">
      <c r="A15" s="181" t="s">
        <v>8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1304732.3999999994</v>
      </c>
      <c r="K15" s="109"/>
      <c r="L15" s="188"/>
      <c r="M15" s="109"/>
      <c r="N15" s="109"/>
      <c r="O15" s="70" t="s">
        <v>88</v>
      </c>
    </row>
    <row r="16" spans="1:18" ht="18.75" customHeight="1" outlineLevel="1">
      <c r="A16" s="181" t="s">
        <v>9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1304732.3999999994</v>
      </c>
      <c r="K16" s="109"/>
      <c r="L16" s="188"/>
      <c r="M16" s="109"/>
      <c r="N16" s="109"/>
      <c r="O16" s="70" t="s">
        <v>89</v>
      </c>
    </row>
    <row r="17" spans="1:23" ht="18.75" customHeight="1" outlineLevel="1">
      <c r="A17" s="181" t="s">
        <v>10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8"/>
      <c r="M17" s="109"/>
      <c r="N17" s="109"/>
      <c r="O17" s="70" t="s">
        <v>90</v>
      </c>
    </row>
    <row r="18" spans="1:23" ht="18.75" customHeight="1" outlineLevel="1">
      <c r="A18" s="181" t="s">
        <v>11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8"/>
      <c r="M18" s="109"/>
      <c r="N18" s="109"/>
      <c r="O18" s="70" t="s">
        <v>91</v>
      </c>
    </row>
    <row r="19" spans="1:23" ht="18.75" customHeight="1" outlineLevel="1">
      <c r="A19" s="181" t="s">
        <v>12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8"/>
      <c r="M19" s="109"/>
      <c r="N19" s="109"/>
      <c r="O19" s="70" t="s">
        <v>92</v>
      </c>
    </row>
    <row r="20" spans="1:23" ht="18.75" customHeight="1" outlineLevel="1">
      <c r="A20" s="181" t="s">
        <v>13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8"/>
      <c r="M20" s="109"/>
      <c r="N20" s="109"/>
      <c r="O20" s="70" t="s">
        <v>93</v>
      </c>
    </row>
    <row r="21" spans="1:23" ht="18.75" customHeight="1" outlineLevel="1">
      <c r="A21" s="181" t="s">
        <v>14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1304732.3999999994</v>
      </c>
      <c r="K21" s="109"/>
      <c r="L21" s="188"/>
      <c r="M21" s="109"/>
      <c r="N21" s="109"/>
      <c r="O21" s="70" t="s">
        <v>94</v>
      </c>
    </row>
    <row r="22" spans="1:23" ht="18.75" customHeight="1" outlineLevel="1">
      <c r="A22" s="181" t="s">
        <v>15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8"/>
      <c r="M22" s="109"/>
      <c r="N22" s="109"/>
      <c r="O22" s="70" t="s">
        <v>95</v>
      </c>
    </row>
    <row r="23" spans="1:23" ht="18.75" customHeight="1" outlineLevel="1">
      <c r="A23" s="181" t="s">
        <v>16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8"/>
      <c r="M23" s="109"/>
      <c r="N23" s="109"/>
      <c r="O23" s="70" t="s">
        <v>96</v>
      </c>
    </row>
    <row r="24" spans="1:23" ht="18.75" customHeight="1" outlineLevel="1">
      <c r="A24" s="181" t="s">
        <v>17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1037431.4000000008</v>
      </c>
      <c r="K24" s="109"/>
      <c r="L24" s="188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0" t="s">
        <v>18</v>
      </c>
      <c r="B27" s="180"/>
      <c r="C27" s="180"/>
      <c r="D27" s="180"/>
      <c r="E27" s="180"/>
      <c r="F27" s="180" t="s">
        <v>19</v>
      </c>
      <c r="G27" s="180"/>
      <c r="H27" s="5" t="s">
        <v>56</v>
      </c>
      <c r="I27" s="180" t="s">
        <v>20</v>
      </c>
      <c r="J27" s="180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212559.24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169153.8</v>
      </c>
      <c r="G29" s="177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9"/>
      <c r="L29" s="189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7">
        <f>VLOOKUP(A30,ПТО!$A$39:$D$53,2,FALSE)</f>
        <v>58086.720000000001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76597.919999999998</v>
      </c>
      <c r="G31" s="177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9"/>
      <c r="L32" s="189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49788.6</v>
      </c>
      <c r="G33" s="177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158302.32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2" t="str">
        <f>ПТО!A46</f>
        <v>Обслуживание пожарной сигнализации</v>
      </c>
      <c r="B35" s="172"/>
      <c r="C35" s="172"/>
      <c r="D35" s="172"/>
      <c r="E35" s="172"/>
      <c r="F35" s="177">
        <f>VLOOKUP(A35,ПТО!$A$39:$D$53,2,FALSE)</f>
        <v>15957.96</v>
      </c>
      <c r="G35" s="177"/>
      <c r="H35" s="42" t="str">
        <f>VLOOKUP(A35,ПТО!$A$39:$D$53,3,FALSE)</f>
        <v>Ежемесячно</v>
      </c>
      <c r="I35" s="173">
        <f>VLOOKUP(A35,ПТО!$A$39:$D$53,4,FALSE)</f>
        <v>12</v>
      </c>
      <c r="J35" s="173"/>
      <c r="K35" s="109"/>
      <c r="L35" s="189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7" t="e">
        <f>VLOOKUP(A36,ПТО!$A$39:$D$53,2,FALSE)</f>
        <v>#N/A</v>
      </c>
      <c r="G36" s="177"/>
      <c r="H36" s="42" t="e">
        <f>VLOOKUP(A36,ПТО!$A$39:$D$53,3,FALSE)</f>
        <v>#N/A</v>
      </c>
      <c r="I36" s="173" t="e">
        <f>VLOOKUP(A36,ПТО!$A$39:$D$53,4,FALSE)</f>
        <v>#N/A</v>
      </c>
      <c r="J36" s="173"/>
      <c r="K36" s="109"/>
      <c r="L36" s="189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9"/>
      <c r="L37" s="189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9"/>
      <c r="L38" s="189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9"/>
      <c r="L39" s="189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9"/>
      <c r="L40" s="189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9"/>
      <c r="L41" s="189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9"/>
      <c r="L42" s="189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7">
        <f>VLOOKUP(A43,ПТО!$A$2:$D$31,4,FALSE)</f>
        <v>16200</v>
      </c>
      <c r="G43" s="177"/>
      <c r="H43" s="19" t="str">
        <f>VLOOKUP(A43,ПТО!$A$2:$D$31,2,FALSE)</f>
        <v>ежегодно</v>
      </c>
      <c r="I43" s="173">
        <f>VLOOKUP(A43,ПТО!$A$2:$D$31,3,FALSE)</f>
        <v>2</v>
      </c>
      <c r="J43" s="173"/>
      <c r="K43" s="109"/>
      <c r="L43" s="189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2" t="str">
        <f>ПТО!A3</f>
        <v>Техническое обслуживание охранной сигнализации.</v>
      </c>
      <c r="B44" s="172"/>
      <c r="C44" s="172"/>
      <c r="D44" s="172"/>
      <c r="E44" s="172"/>
      <c r="F44" s="177">
        <f>VLOOKUP(A44,ПТО!$A$2:$D$31,4,FALSE)</f>
        <v>12000</v>
      </c>
      <c r="G44" s="177"/>
      <c r="H44" s="25" t="str">
        <f>VLOOKUP(A44,ПТО!$A$2:$D$31,2,FALSE)</f>
        <v>ежемесячно</v>
      </c>
      <c r="I44" s="173">
        <f>VLOOKUP(A44,ПТО!$A$2:$D$31,3,FALSE)</f>
        <v>12</v>
      </c>
      <c r="J44" s="173"/>
      <c r="K44" s="109"/>
      <c r="L44" s="189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72" t="str">
        <f>ПТО!A4</f>
        <v>Техническое обслуживание системы видеонаблюдения.</v>
      </c>
      <c r="B45" s="172"/>
      <c r="C45" s="172"/>
      <c r="D45" s="172"/>
      <c r="E45" s="172"/>
      <c r="F45" s="177">
        <f>VLOOKUP(A45,ПТО!$A$2:$D$31,4,FALSE)</f>
        <v>30000</v>
      </c>
      <c r="G45" s="177"/>
      <c r="H45" s="25" t="str">
        <f>VLOOKUP(A45,ПТО!$A$2:$D$31,2,FALSE)</f>
        <v>ежемесячно</v>
      </c>
      <c r="I45" s="173">
        <f>VLOOKUP(A45,ПТО!$A$2:$D$31,3,FALSE)</f>
        <v>12</v>
      </c>
      <c r="J45" s="173"/>
      <c r="K45" s="109"/>
      <c r="L45" s="189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72" t="str">
        <f>ПТО!A5</f>
        <v>Благоустройство придомовой территории (срезка и вывоз поврежденного асфальтобетона).</v>
      </c>
      <c r="B46" s="172"/>
      <c r="C46" s="172"/>
      <c r="D46" s="172"/>
      <c r="E46" s="172"/>
      <c r="F46" s="177">
        <f>VLOOKUP(A46,ПТО!$A$2:$D$31,4,FALSE)</f>
        <v>1793.4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9"/>
      <c r="L46" s="189"/>
      <c r="M46" s="115"/>
      <c r="N46" s="109"/>
      <c r="O46" s="23" t="str">
        <f t="shared" si="1"/>
        <v>Благоустройство придомовой территории (срезка и вывоз поврежденного асфальтобетона).</v>
      </c>
      <c r="R46" s="22" t="s">
        <v>71</v>
      </c>
    </row>
    <row r="47" spans="1:18" ht="51" customHeight="1" outlineLevel="1">
      <c r="A47" s="172" t="str">
        <f>ПТО!A6</f>
        <v>Замена светильников в лифтах (4 шт.).</v>
      </c>
      <c r="B47" s="172"/>
      <c r="C47" s="172"/>
      <c r="D47" s="172"/>
      <c r="E47" s="172"/>
      <c r="F47" s="177">
        <f>VLOOKUP(A47,ПТО!$A$2:$D$31,4,FALSE)</f>
        <v>2352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9"/>
      <c r="L47" s="189"/>
      <c r="M47" s="115"/>
      <c r="N47" s="109"/>
      <c r="O47" s="23" t="str">
        <f t="shared" si="1"/>
        <v>Замена светильников в лифтах (4 шт.).</v>
      </c>
      <c r="R47" s="22" t="s">
        <v>71</v>
      </c>
    </row>
    <row r="48" spans="1:18" ht="51" customHeight="1" outlineLevel="1">
      <c r="A48" s="172" t="str">
        <f>ПТО!A7</f>
        <v>Испытание пожарных кранов (32 шт.).</v>
      </c>
      <c r="B48" s="172"/>
      <c r="C48" s="172"/>
      <c r="D48" s="172"/>
      <c r="E48" s="172"/>
      <c r="F48" s="177">
        <f>VLOOKUP(A48,ПТО!$A$2:$D$31,4,FALSE)</f>
        <v>8000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9"/>
      <c r="L48" s="189"/>
      <c r="M48" s="115"/>
      <c r="N48" s="109"/>
      <c r="O48" s="23" t="str">
        <f t="shared" si="1"/>
        <v>Испытание пожарных кранов (32 шт.).</v>
      </c>
      <c r="R48" s="22" t="s">
        <v>71</v>
      </c>
    </row>
    <row r="49" spans="1:18" ht="51" customHeight="1" outlineLevel="1">
      <c r="A49" s="172" t="str">
        <f>ПТО!A8</f>
        <v>Приобретение и замена межтамбурных дверей (2 шт., цоколь).</v>
      </c>
      <c r="B49" s="172"/>
      <c r="C49" s="172"/>
      <c r="D49" s="172"/>
      <c r="E49" s="172"/>
      <c r="F49" s="177">
        <f>VLOOKUP(A49,ПТО!$A$2:$D$31,4,FALSE)</f>
        <v>87914.33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9"/>
      <c r="L49" s="189"/>
      <c r="M49" s="115"/>
      <c r="N49" s="109"/>
      <c r="O49" s="23" t="str">
        <f t="shared" si="1"/>
        <v>Приобретение и замена межтамбурных дверей (2 шт., цоколь).</v>
      </c>
      <c r="R49" s="22" t="s">
        <v>71</v>
      </c>
    </row>
    <row r="50" spans="1:18" ht="51" hidden="1" customHeight="1" outlineLevel="1">
      <c r="A50" s="172">
        <f>ПТО!A9</f>
        <v>0</v>
      </c>
      <c r="B50" s="172"/>
      <c r="C50" s="172"/>
      <c r="D50" s="172"/>
      <c r="E50" s="172"/>
      <c r="F50" s="177" t="e">
        <f>VLOOKUP(A50,ПТО!$A$2:$D$31,4,FALSE)</f>
        <v>#N/A</v>
      </c>
      <c r="G50" s="177"/>
      <c r="H50" s="25" t="e">
        <f>VLOOKUP(A50,ПТО!$A$2:$D$31,2,FALSE)</f>
        <v>#N/A</v>
      </c>
      <c r="I50" s="173" t="e">
        <f>VLOOKUP(A50,ПТО!$A$2:$D$31,3,FALSE)</f>
        <v>#N/A</v>
      </c>
      <c r="J50" s="173"/>
      <c r="K50" s="109"/>
      <c r="L50" s="189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72">
        <f>ПТО!A10</f>
        <v>0</v>
      </c>
      <c r="B51" s="172"/>
      <c r="C51" s="172"/>
      <c r="D51" s="172"/>
      <c r="E51" s="172"/>
      <c r="F51" s="177" t="e">
        <f>VLOOKUP(A51,ПТО!$A$2:$D$31,4,FALSE)</f>
        <v>#N/A</v>
      </c>
      <c r="G51" s="177"/>
      <c r="H51" s="25" t="e">
        <f>VLOOKUP(A51,ПТО!$A$2:$D$31,2,FALSE)</f>
        <v>#N/A</v>
      </c>
      <c r="I51" s="173" t="e">
        <f>VLOOKUP(A51,ПТО!$A$2:$D$31,3,FALSE)</f>
        <v>#N/A</v>
      </c>
      <c r="J51" s="173"/>
      <c r="K51" s="109"/>
      <c r="L51" s="189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7" t="e">
        <f>VLOOKUP(A52,ПТО!$A$2:$D$31,4,FALSE)</f>
        <v>#N/A</v>
      </c>
      <c r="G52" s="177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09"/>
      <c r="L52" s="189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7" t="e">
        <f>VLOOKUP(A53,ПТО!$A$2:$D$31,4,FALSE)</f>
        <v>#N/A</v>
      </c>
      <c r="G53" s="177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09"/>
      <c r="L53" s="189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09"/>
      <c r="L54" s="189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09"/>
      <c r="L55" s="189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9"/>
      <c r="L56" s="189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9"/>
      <c r="L57" s="189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9"/>
      <c r="L58" s="189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9"/>
      <c r="L59" s="189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9"/>
      <c r="L60" s="189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9"/>
      <c r="L61" s="189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9"/>
      <c r="L62" s="189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9"/>
      <c r="L63" s="189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9"/>
      <c r="L64" s="189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9"/>
      <c r="L65" s="189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9"/>
      <c r="L66" s="189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9"/>
      <c r="L67" s="189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9"/>
      <c r="L68" s="189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9"/>
      <c r="L69" s="189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9"/>
      <c r="L70" s="189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5"/>
      <c r="L71" s="189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9"/>
      <c r="L72" s="189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92"/>
      <c r="M75" s="109"/>
      <c r="N75" s="109"/>
      <c r="O75" s="70" t="s">
        <v>98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92"/>
      <c r="M76" s="109"/>
      <c r="N76" s="109"/>
      <c r="O76" s="70" t="s">
        <v>99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92"/>
      <c r="M77" s="109"/>
      <c r="N77" s="109"/>
      <c r="O77" s="70" t="s">
        <v>100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92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0" t="s">
        <v>1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102</v>
      </c>
    </row>
    <row r="82" spans="1:15" outlineLevel="1">
      <c r="A82" s="170" t="s">
        <v>2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78"/>
      <c r="M82" s="109"/>
      <c r="N82" s="109"/>
      <c r="O82" s="70" t="s">
        <v>103</v>
      </c>
    </row>
    <row r="83" spans="1:15" outlineLevel="1">
      <c r="A83" s="184" t="s">
        <v>3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138039.35999999999</v>
      </c>
      <c r="K83" s="109"/>
      <c r="L83" s="178"/>
      <c r="M83" s="109"/>
      <c r="N83" s="109"/>
      <c r="O83" s="70" t="s">
        <v>104</v>
      </c>
    </row>
    <row r="84" spans="1:15" outlineLevel="1">
      <c r="A84" s="184" t="s">
        <v>15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78"/>
      <c r="M84" s="109"/>
      <c r="N84" s="109"/>
      <c r="O84" s="70" t="s">
        <v>105</v>
      </c>
    </row>
    <row r="85" spans="1:15" outlineLevel="1">
      <c r="A85" s="184" t="s">
        <v>16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78"/>
      <c r="M85" s="109"/>
      <c r="N85" s="109"/>
      <c r="O85" s="70" t="s">
        <v>106</v>
      </c>
    </row>
    <row r="86" spans="1:15" outlineLevel="1">
      <c r="A86" s="184" t="s">
        <v>17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159219.60999999999</v>
      </c>
      <c r="K86" s="109"/>
      <c r="L86" s="178"/>
      <c r="M86" s="109"/>
      <c r="N86" s="109"/>
      <c r="O86" s="70" t="s">
        <v>107</v>
      </c>
    </row>
    <row r="87" spans="1:15" ht="18.75" customHeight="1" outlineLevel="1">
      <c r="A87" s="184" t="s">
        <v>26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78"/>
      <c r="M87" s="109"/>
      <c r="N87" s="109"/>
      <c r="O87" s="70" t="s">
        <v>108</v>
      </c>
    </row>
    <row r="88" spans="1:15" ht="18.75" customHeight="1" outlineLevel="1">
      <c r="A88" s="184" t="s">
        <v>27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78"/>
      <c r="M88" s="109"/>
      <c r="N88" s="109"/>
      <c r="O88" s="70" t="s">
        <v>109</v>
      </c>
    </row>
    <row r="89" spans="1:15" ht="18.75" customHeight="1" outlineLevel="1">
      <c r="A89" s="184" t="s">
        <v>28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78"/>
      <c r="M89" s="109"/>
      <c r="N89" s="109"/>
      <c r="O89" s="70" t="s">
        <v>110</v>
      </c>
    </row>
    <row r="90" spans="1:15" ht="18.75" customHeight="1" outlineLevel="1">
      <c r="A90" s="184" t="s">
        <v>29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78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3" t="s">
        <v>47</v>
      </c>
      <c r="B93" s="193"/>
      <c r="C93" s="193"/>
      <c r="D93" s="194" t="s">
        <v>48</v>
      </c>
      <c r="E93" s="194"/>
      <c r="F93" s="10" t="s">
        <v>49</v>
      </c>
      <c r="G93" s="193" t="s">
        <v>50</v>
      </c>
      <c r="H93" s="193"/>
      <c r="I93" s="193"/>
      <c r="J93" s="193"/>
      <c r="K93" s="109"/>
      <c r="L93" s="109"/>
      <c r="M93" s="109"/>
      <c r="N93" s="109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6">
        <f>VLOOKUP("эл",АО,5,FALSE)</f>
        <v>162266.28000000006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outlineLevel="2">
      <c r="A95" s="191" t="str">
        <f>IF(VLOOKUP("эл",АО,3,FALSE)&gt;0,VLOOKUP("эл1",АО,2,FALSE),0)</f>
        <v>Общий объем потребления, нат. показ.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11852.371579738981</v>
      </c>
      <c r="L95" s="179"/>
      <c r="O95" s="1" t="s">
        <v>112</v>
      </c>
    </row>
    <row r="96" spans="1:15" outlineLevel="2">
      <c r="A96" s="191" t="str">
        <f>IF(VLOOKUP("эл",АО,3,FALSE)&gt;0,VLOOKUP("эл2",АО,2,FALSE),0)</f>
        <v>Оплачено потребителями, руб.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155422.08000000005</v>
      </c>
      <c r="L96" s="179"/>
      <c r="O96" s="1" t="s">
        <v>113</v>
      </c>
    </row>
    <row r="97" spans="1:15" outlineLevel="2">
      <c r="A97" s="191" t="str">
        <f>IF(VLOOKUP("эл",АО,3,FALSE)&gt;0,VLOOKUP("эл3",АО,2,FALSE),0)</f>
        <v>Задолженность потребителей, руб.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6844.2000000000116</v>
      </c>
      <c r="L97" s="179"/>
      <c r="O97" s="1" t="s">
        <v>114</v>
      </c>
    </row>
    <row r="98" spans="1:15" ht="37.5" customHeight="1" outlineLevel="2">
      <c r="A98" s="191" t="str">
        <f>IF(VLOOKUP("эл",АО,3,FALSE)&gt;0,VLOOKUP("эл4",АО,2,FALSE),0)</f>
        <v>Начислено поставщиком (поставщиками) коммунального ресурса, руб.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162266.28000000006</v>
      </c>
      <c r="L98" s="179"/>
      <c r="O98" s="1" t="s">
        <v>115</v>
      </c>
    </row>
    <row r="99" spans="1:15" outlineLevel="2">
      <c r="A99" s="191" t="str">
        <f>IF(VLOOKUP("эл",АО,3,FALSE)&gt;0,VLOOKUP("эл5",АО,2,FALSE),0)</f>
        <v>Оплачено поставщику (поставщикам) коммунального ресурса, руб.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162266.28000000006</v>
      </c>
      <c r="L99" s="179"/>
      <c r="O99" s="1" t="s">
        <v>116</v>
      </c>
    </row>
    <row r="100" spans="1:15" ht="39" customHeight="1" outlineLevel="2">
      <c r="A100" s="19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117</v>
      </c>
    </row>
    <row r="101" spans="1:15" ht="34.5" customHeight="1" outlineLevel="2">
      <c r="A101" s="19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118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6">
        <f>VLOOKUP("хвс",АО,5,FALSE)</f>
        <v>314957.98999999987</v>
      </c>
      <c r="H102" s="175"/>
      <c r="I102" s="175"/>
      <c r="J102" s="175"/>
      <c r="L102" s="179"/>
    </row>
    <row r="103" spans="1:15" outlineLevel="2">
      <c r="A103" s="191" t="str">
        <f t="shared" ref="A103:A109" si="4">IF(VLOOKUP("хвс",АО,3,FALSE)&gt;0,VLOOKUP(O103,АО,2,FALSE),0)</f>
        <v>Общий объем потребления, нат. показ.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18922.53897864739</v>
      </c>
      <c r="L103" s="179"/>
      <c r="O103" s="1" t="s">
        <v>121</v>
      </c>
    </row>
    <row r="104" spans="1:15" ht="18.75" customHeight="1" outlineLevel="2">
      <c r="A104" s="191" t="str">
        <f t="shared" si="4"/>
        <v>Оплачено потребителями, руб.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300621.93999999989</v>
      </c>
      <c r="L104" s="179"/>
      <c r="O104" s="1" t="s">
        <v>122</v>
      </c>
    </row>
    <row r="105" spans="1:15" ht="18.75" customHeight="1" outlineLevel="2">
      <c r="A105" s="191" t="str">
        <f t="shared" si="4"/>
        <v>Задолженность потребителей, руб.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14336.049999999988</v>
      </c>
      <c r="L105" s="179"/>
      <c r="O105" s="1" t="s">
        <v>123</v>
      </c>
    </row>
    <row r="106" spans="1:15" ht="36.75" customHeight="1" outlineLevel="2">
      <c r="A106" s="191" t="str">
        <f t="shared" si="4"/>
        <v>Начислено поставщиком (поставщиками) коммунального ресурса, руб.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314957.98999999987</v>
      </c>
      <c r="L106" s="179"/>
      <c r="O106" s="1" t="s">
        <v>124</v>
      </c>
    </row>
    <row r="107" spans="1:15" ht="18.75" customHeight="1" outlineLevel="2">
      <c r="A107" s="191" t="str">
        <f t="shared" si="4"/>
        <v>Оплачено поставщику (поставщикам) коммунального ресурса, руб.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314957.98999999987</v>
      </c>
      <c r="L107" s="179"/>
      <c r="O107" s="1" t="s">
        <v>125</v>
      </c>
    </row>
    <row r="108" spans="1:15" ht="37.5" customHeight="1" outlineLevel="2">
      <c r="A108" s="191" t="str">
        <f t="shared" si="4"/>
        <v>Задолженность перед поставщиком (поставщиками) коммунального ресурса, руб.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126</v>
      </c>
    </row>
    <row r="109" spans="1:15" ht="39.75" customHeight="1" outlineLevel="2">
      <c r="A109" s="191" t="str">
        <f t="shared" si="4"/>
        <v>Размер пени и штрафов, уплаченных поставщику (поставщикам) коммунального ресурса, руб.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127</v>
      </c>
    </row>
    <row r="110" spans="1:15" ht="27" hidden="1" customHeight="1" outlineLevel="1">
      <c r="A110" s="174">
        <f>IF(VLOOKUP("воо",АО,3,FALSE)&gt;0,"Водоотведение",0)</f>
        <v>0</v>
      </c>
      <c r="B110" s="174"/>
      <c r="C110" s="174"/>
      <c r="D110" s="175">
        <f>IF(VLOOKUP("воо",АО,3,FALSE)&gt;0,VLOOKUP("воо",АО,3,FALSE),0)</f>
        <v>0</v>
      </c>
      <c r="E110" s="175"/>
      <c r="F110" s="13">
        <f>IF(VLOOKUP("воо",АО,3,FALSE)&gt;0,VLOOKUP("воо",АО,4,FALSE),0)</f>
        <v>0</v>
      </c>
      <c r="G110" s="176">
        <f>VLOOKUP("воо",АО,5,FALSE)</f>
        <v>0</v>
      </c>
      <c r="H110" s="175"/>
      <c r="I110" s="175"/>
      <c r="J110" s="175"/>
      <c r="L110" s="179"/>
    </row>
    <row r="111" spans="1:15" hidden="1" outlineLevel="2">
      <c r="A111" s="170">
        <f t="shared" ref="A111:A117" si="6">IF(VLOOKUP("воо",АО,3,FALSE)&gt;0,VLOOKUP(O111,АО,2,FALSE),0)</f>
        <v>0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0</v>
      </c>
      <c r="L111" s="179"/>
      <c r="O111" s="1" t="s">
        <v>129</v>
      </c>
    </row>
    <row r="112" spans="1:15" ht="18.75" hidden="1" customHeight="1" outlineLevel="2">
      <c r="A112" s="170">
        <f t="shared" si="6"/>
        <v>0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0</v>
      </c>
      <c r="L112" s="179"/>
      <c r="O112" s="1" t="s">
        <v>130</v>
      </c>
    </row>
    <row r="113" spans="1:15" ht="19.5" hidden="1" customHeight="1" outlineLevel="2">
      <c r="A113" s="170">
        <f t="shared" si="6"/>
        <v>0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79"/>
      <c r="O113" s="1" t="s">
        <v>131</v>
      </c>
    </row>
    <row r="114" spans="1:15" ht="33" hidden="1" customHeight="1" outlineLevel="2">
      <c r="A114" s="170">
        <f t="shared" si="6"/>
        <v>0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0</v>
      </c>
      <c r="L114" s="179"/>
      <c r="O114" s="1" t="s">
        <v>132</v>
      </c>
    </row>
    <row r="115" spans="1:15" ht="18.75" hidden="1" customHeight="1" outlineLevel="2">
      <c r="A115" s="170">
        <f t="shared" si="6"/>
        <v>0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0</v>
      </c>
      <c r="L115" s="179"/>
      <c r="O115" s="1" t="s">
        <v>133</v>
      </c>
    </row>
    <row r="116" spans="1:15" ht="33.75" hidden="1" customHeight="1" outlineLevel="2">
      <c r="A116" s="170">
        <f t="shared" si="6"/>
        <v>0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134</v>
      </c>
    </row>
    <row r="117" spans="1:15" ht="32.25" hidden="1" customHeight="1" outlineLevel="2">
      <c r="A117" s="170">
        <f t="shared" si="6"/>
        <v>0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135</v>
      </c>
    </row>
    <row r="118" spans="1:15" ht="32.25" hidden="1" customHeight="1" outlineLevel="1">
      <c r="A118" s="174">
        <f>IF(VLOOKUP("тко",АО,3,FALSE)&gt;0,"Обращение с ТКО",0)</f>
        <v>0</v>
      </c>
      <c r="B118" s="174"/>
      <c r="C118" s="174"/>
      <c r="D118" s="175">
        <f>IF(VLOOKUP("тко",АО,3,FALSE)&gt;0,VLOOKUP("тко",АО,3,FALSE),0)</f>
        <v>0</v>
      </c>
      <c r="E118" s="175"/>
      <c r="F118" s="13">
        <f>IF(VLOOKUP("тко",АО,3,FALSE)&gt;0,VLOOKUP("тко",АО,4,FALSE),0)</f>
        <v>0</v>
      </c>
      <c r="G118" s="176">
        <f>VLOOKUP("тко",АО,5,FALSE)</f>
        <v>0</v>
      </c>
      <c r="H118" s="175"/>
      <c r="I118" s="175"/>
      <c r="J118" s="175"/>
      <c r="L118" s="47"/>
    </row>
    <row r="119" spans="1:15" ht="32.25" hidden="1" customHeight="1" outlineLevel="2">
      <c r="A119" s="170">
        <f t="shared" ref="A119:A125" si="8">IF(VLOOKUP("тко",АО,3,FALSE)&gt;0,VLOOKUP(O119,АО,2,FALSE),0)</f>
        <v>0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0">
        <f t="shared" si="8"/>
        <v>0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0">
        <f t="shared" si="8"/>
        <v>0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0">
        <f t="shared" si="8"/>
        <v>0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0">
        <f t="shared" si="8"/>
        <v>0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0">
        <f t="shared" si="8"/>
        <v>0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0">
        <f t="shared" si="8"/>
        <v>0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4">
        <f>IF(VLOOKUP("гвс",АО,3,FALSE)&gt;0,"Горячее водоснабжение",0)</f>
        <v>0</v>
      </c>
      <c r="B126" s="174"/>
      <c r="C126" s="174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6">
        <f>VLOOKUP("гвс",АО,5,FALSE)</f>
        <v>0</v>
      </c>
      <c r="H126" s="175"/>
      <c r="I126" s="175"/>
      <c r="J126" s="175"/>
      <c r="L126" s="47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7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0" t="s">
        <v>44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169</v>
      </c>
    </row>
    <row r="145" spans="1:15" ht="18.75" customHeight="1" outlineLevel="1">
      <c r="A145" s="170" t="s">
        <v>45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70" t="s">
        <v>172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0</v>
      </c>
      <c r="O146" t="s">
        <v>171</v>
      </c>
    </row>
    <row r="149" spans="1:15" ht="52.5" customHeight="1">
      <c r="A149" s="195" t="s">
        <v>188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189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97" t="s">
        <v>205</v>
      </c>
      <c r="B154" s="197"/>
      <c r="C154" s="197"/>
      <c r="D154" s="197"/>
      <c r="E154" s="27">
        <f>ПТО!G1</f>
        <v>-2363.6999999999998</v>
      </c>
    </row>
    <row r="155" spans="1:15" ht="34.5" customHeight="1">
      <c r="A155" s="196" t="s">
        <v>204</v>
      </c>
      <c r="B155" s="196"/>
      <c r="C155" s="196"/>
      <c r="D155" s="196"/>
      <c r="E155" s="28">
        <f>J13</f>
        <v>255096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18</v>
      </c>
      <c r="B157" s="180"/>
      <c r="C157" s="180"/>
      <c r="D157" s="180"/>
      <c r="E157" s="180"/>
      <c r="F157" s="180" t="s">
        <v>19</v>
      </c>
      <c r="G157" s="180"/>
      <c r="H157" s="20" t="s">
        <v>56</v>
      </c>
      <c r="I157" s="180" t="s">
        <v>20</v>
      </c>
      <c r="J157" s="180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16200</v>
      </c>
      <c r="G158" s="177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2</v>
      </c>
      <c r="J158" s="17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Техническое обслуживание охранной сигнализации.</v>
      </c>
      <c r="B159" s="172"/>
      <c r="C159" s="172"/>
      <c r="D159" s="172"/>
      <c r="E159" s="172"/>
      <c r="F159" s="177">
        <f t="shared" si="15"/>
        <v>12000</v>
      </c>
      <c r="G159" s="177"/>
      <c r="H159" s="24" t="str">
        <f t="shared" si="16"/>
        <v>ежемесячно</v>
      </c>
      <c r="I159" s="173">
        <f t="shared" si="17"/>
        <v>12</v>
      </c>
      <c r="J159" s="173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72" t="str">
        <f t="shared" si="14"/>
        <v>Техническое обслуживание системы видеонаблюдения.</v>
      </c>
      <c r="B160" s="172"/>
      <c r="C160" s="172"/>
      <c r="D160" s="172"/>
      <c r="E160" s="172"/>
      <c r="F160" s="177">
        <f t="shared" si="15"/>
        <v>30000</v>
      </c>
      <c r="G160" s="177"/>
      <c r="H160" s="24" t="str">
        <f t="shared" si="16"/>
        <v>ежемесячно</v>
      </c>
      <c r="I160" s="173">
        <f t="shared" si="17"/>
        <v>12</v>
      </c>
      <c r="J160" s="173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72" t="str">
        <f>IF(N161&gt;0,N161,0)</f>
        <v>Благоустройство придомовой территории (срезка и вывоз поврежденного асфальтобетона).</v>
      </c>
      <c r="B161" s="172"/>
      <c r="C161" s="172"/>
      <c r="D161" s="172"/>
      <c r="E161" s="172"/>
      <c r="F161" s="177">
        <f t="shared" si="15"/>
        <v>1793.4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71</v>
      </c>
      <c r="N161" s="1" t="str">
        <v>Благоустройство придомовой территории (срезка и вывоз поврежденного асфальтобетона).</v>
      </c>
    </row>
    <row r="162" spans="1:14" ht="28.5" customHeight="1">
      <c r="A162" s="172" t="str">
        <f t="shared" si="14"/>
        <v>Замена светильников в лифтах (4 шт.).</v>
      </c>
      <c r="B162" s="172"/>
      <c r="C162" s="172"/>
      <c r="D162" s="172"/>
      <c r="E162" s="172"/>
      <c r="F162" s="177">
        <f t="shared" si="15"/>
        <v>2352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71</v>
      </c>
      <c r="N162" s="1" t="str">
        <v>Замена светильников в лифтах (4 шт.).</v>
      </c>
    </row>
    <row r="163" spans="1:14" ht="28.5" customHeight="1">
      <c r="A163" s="172" t="str">
        <f t="shared" si="14"/>
        <v>Испытание пожарных кранов (32 шт.).</v>
      </c>
      <c r="B163" s="172"/>
      <c r="C163" s="172"/>
      <c r="D163" s="172"/>
      <c r="E163" s="172"/>
      <c r="F163" s="177">
        <f t="shared" si="15"/>
        <v>8000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71</v>
      </c>
      <c r="N163" s="1" t="str">
        <v>Испытание пожарных кранов (32 шт.).</v>
      </c>
    </row>
    <row r="164" spans="1:14" ht="28.5" customHeight="1">
      <c r="A164" s="172" t="str">
        <f t="shared" ref="A164:A187" si="18">IF(N164&gt;0,N164,0)</f>
        <v>Приобретение и замена межтамбурных дверей (2 шт., цоколь).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87914.33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71</v>
      </c>
      <c r="N164" s="1" t="str">
        <v>Приобретение и замена межтамбурных дверей (2 шт., цоколь).</v>
      </c>
    </row>
    <row r="165" spans="1:14" ht="28.5" hidden="1" customHeight="1">
      <c r="A165" s="172">
        <f t="shared" si="18"/>
        <v>0</v>
      </c>
      <c r="B165" s="172"/>
      <c r="C165" s="172"/>
      <c r="D165" s="172"/>
      <c r="E165" s="172"/>
      <c r="F165" s="177">
        <f t="shared" si="19"/>
        <v>0</v>
      </c>
      <c r="G165" s="177"/>
      <c r="H165" s="29" t="e">
        <f t="shared" si="16"/>
        <v>#N/A</v>
      </c>
      <c r="I165" s="173" t="e">
        <f t="shared" si="20"/>
        <v>#N/A</v>
      </c>
      <c r="J165" s="173"/>
      <c r="M165" s="22" t="s">
        <v>71</v>
      </c>
      <c r="N165" s="1">
        <v>0</v>
      </c>
    </row>
    <row r="166" spans="1:14" ht="28.5" hidden="1" customHeight="1">
      <c r="A166" s="172">
        <f t="shared" si="18"/>
        <v>0</v>
      </c>
      <c r="B166" s="172"/>
      <c r="C166" s="172"/>
      <c r="D166" s="172"/>
      <c r="E166" s="172"/>
      <c r="F166" s="177">
        <f t="shared" si="19"/>
        <v>0</v>
      </c>
      <c r="G166" s="177"/>
      <c r="H166" s="29" t="e">
        <f t="shared" si="16"/>
        <v>#N/A</v>
      </c>
      <c r="I166" s="173" t="e">
        <f t="shared" si="20"/>
        <v>#N/A</v>
      </c>
      <c r="J166" s="173"/>
      <c r="M166" s="22" t="s">
        <v>71</v>
      </c>
      <c r="N166" s="1">
        <v>0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7">
        <f t="shared" si="19"/>
        <v>0</v>
      </c>
      <c r="G167" s="177"/>
      <c r="H167" s="29" t="e">
        <f t="shared" si="16"/>
        <v>#N/A</v>
      </c>
      <c r="I167" s="173" t="e">
        <f t="shared" si="20"/>
        <v>#N/A</v>
      </c>
      <c r="J167" s="173"/>
      <c r="M167" s="22" t="s">
        <v>71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7">
        <f t="shared" si="19"/>
        <v>0</v>
      </c>
      <c r="G168" s="177"/>
      <c r="H168" s="29" t="e">
        <f t="shared" si="16"/>
        <v>#N/A</v>
      </c>
      <c r="I168" s="173" t="e">
        <f t="shared" si="20"/>
        <v>#N/A</v>
      </c>
      <c r="J168" s="173"/>
      <c r="M168" s="22" t="s">
        <v>71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7">
        <f t="shared" si="19"/>
        <v>0</v>
      </c>
      <c r="G169" s="177"/>
      <c r="H169" s="29" t="e">
        <f t="shared" si="16"/>
        <v>#N/A</v>
      </c>
      <c r="I169" s="173" t="e">
        <f t="shared" si="20"/>
        <v>#N/A</v>
      </c>
      <c r="J169" s="173"/>
      <c r="M169" s="22" t="s">
        <v>71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7">
        <f t="shared" si="19"/>
        <v>0</v>
      </c>
      <c r="G170" s="177"/>
      <c r="H170" s="29" t="e">
        <f t="shared" si="16"/>
        <v>#N/A</v>
      </c>
      <c r="I170" s="173" t="e">
        <f t="shared" si="20"/>
        <v>#N/A</v>
      </c>
      <c r="J170" s="173"/>
      <c r="M170" s="22" t="s">
        <v>71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7">
        <f t="shared" si="19"/>
        <v>0</v>
      </c>
      <c r="G171" s="177"/>
      <c r="H171" s="29" t="e">
        <f t="shared" si="16"/>
        <v>#N/A</v>
      </c>
      <c r="I171" s="173" t="e">
        <f t="shared" si="20"/>
        <v>#N/A</v>
      </c>
      <c r="J171" s="173"/>
      <c r="M171" s="22" t="s">
        <v>71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7">
        <f t="shared" si="19"/>
        <v>0</v>
      </c>
      <c r="G172" s="177"/>
      <c r="H172" s="29" t="e">
        <f t="shared" si="16"/>
        <v>#N/A</v>
      </c>
      <c r="I172" s="173" t="e">
        <f t="shared" si="20"/>
        <v>#N/A</v>
      </c>
      <c r="J172" s="173"/>
      <c r="M172" s="22" t="s">
        <v>71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7">
        <f t="shared" si="19"/>
        <v>0</v>
      </c>
      <c r="G173" s="177"/>
      <c r="H173" s="29" t="e">
        <f t="shared" si="16"/>
        <v>#N/A</v>
      </c>
      <c r="I173" s="173" t="e">
        <f t="shared" si="20"/>
        <v>#N/A</v>
      </c>
      <c r="J173" s="173"/>
      <c r="M173" s="22" t="s">
        <v>71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7">
        <f t="shared" si="19"/>
        <v>0</v>
      </c>
      <c r="G174" s="177"/>
      <c r="H174" s="29" t="e">
        <f t="shared" si="16"/>
        <v>#N/A</v>
      </c>
      <c r="I174" s="173" t="e">
        <f t="shared" si="20"/>
        <v>#N/A</v>
      </c>
      <c r="J174" s="173"/>
      <c r="M174" s="22" t="s">
        <v>71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97" t="s">
        <v>203</v>
      </c>
      <c r="B190" s="197"/>
      <c r="C190" s="197"/>
      <c r="D190" s="197"/>
      <c r="E190" s="27">
        <f>SUM(F158:G187)</f>
        <v>158259.72999999998</v>
      </c>
    </row>
    <row r="191" spans="1:14" ht="51.75" customHeight="1">
      <c r="A191" s="197" t="s">
        <v>202</v>
      </c>
      <c r="B191" s="197"/>
      <c r="C191" s="197"/>
      <c r="D191" s="197"/>
      <c r="E191" s="27">
        <f>E190+E154-E155</f>
        <v>-99199.97000000003</v>
      </c>
    </row>
    <row r="192" spans="1:14">
      <c r="A192" s="104" t="s">
        <v>173</v>
      </c>
    </row>
    <row r="193" spans="1:10" ht="62.25" customHeight="1">
      <c r="A193" s="171" t="s">
        <v>201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73</v>
      </c>
    </row>
    <row r="195" spans="1:10" ht="18.75" customHeight="1">
      <c r="A195" s="169" t="str">
        <f>ПТО!F13</f>
        <v xml:space="preserve">  -  техническое освидетельствование лифтов</v>
      </c>
      <c r="B195" s="169"/>
      <c r="C195" s="169"/>
      <c r="D195" s="169"/>
      <c r="E195" s="169"/>
      <c r="F195" s="169"/>
      <c r="G195" s="169"/>
      <c r="H195" s="49">
        <f>ПТО!G13</f>
        <v>16200</v>
      </c>
      <c r="I195" s="50" t="s">
        <v>73</v>
      </c>
    </row>
    <row r="196" spans="1:10" ht="18.75" customHeight="1">
      <c r="A196" s="169" t="str">
        <f>ПТО!F14</f>
        <v xml:space="preserve">  -  техническое обслуживание охранной сигнализации</v>
      </c>
      <c r="B196" s="169"/>
      <c r="C196" s="169"/>
      <c r="D196" s="169"/>
      <c r="E196" s="169"/>
      <c r="F196" s="169"/>
      <c r="G196" s="169"/>
      <c r="H196" s="49">
        <f>ПТО!G14</f>
        <v>12000</v>
      </c>
      <c r="I196" s="50" t="s">
        <v>73</v>
      </c>
    </row>
    <row r="197" spans="1:10" ht="18.75" customHeight="1">
      <c r="A197" s="169" t="str">
        <f>ПТО!F15</f>
        <v xml:space="preserve">  -  техническое обслуживание системы видеонаблюдения</v>
      </c>
      <c r="B197" s="169"/>
      <c r="C197" s="169"/>
      <c r="D197" s="169"/>
      <c r="E197" s="169"/>
      <c r="F197" s="169"/>
      <c r="G197" s="169"/>
      <c r="H197" s="49">
        <f>ПТО!G15</f>
        <v>30000</v>
      </c>
      <c r="I197" s="50" t="s">
        <v>73</v>
      </c>
    </row>
    <row r="198" spans="1:10" ht="18.75" customHeight="1">
      <c r="A198" s="169" t="str">
        <f>ПТО!F16</f>
        <v xml:space="preserve">  -  покраска металлического ограждения</v>
      </c>
      <c r="B198" s="169"/>
      <c r="C198" s="169"/>
      <c r="D198" s="169"/>
      <c r="E198" s="169"/>
      <c r="F198" s="169"/>
      <c r="G198" s="169"/>
      <c r="H198" s="49">
        <f>ПТО!G16</f>
        <v>4000</v>
      </c>
      <c r="I198" s="52" t="s">
        <v>73</v>
      </c>
    </row>
    <row r="199" spans="1:10" ht="38.25" customHeight="1">
      <c r="A199" s="169" t="str">
        <f>ПТО!F17</f>
        <v xml:space="preserve">  -  покраска (обновление) бордюров и разлиновка парковочных мест</v>
      </c>
      <c r="B199" s="169"/>
      <c r="C199" s="169"/>
      <c r="D199" s="169"/>
      <c r="E199" s="169"/>
      <c r="F199" s="169"/>
      <c r="G199" s="169"/>
      <c r="H199" s="49">
        <f>ПТО!G17</f>
        <v>9000</v>
      </c>
      <c r="I199" s="50" t="s">
        <v>73</v>
      </c>
    </row>
    <row r="200" spans="1:10" ht="38.25" customHeight="1">
      <c r="A200" s="169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69"/>
      <c r="C200" s="169"/>
      <c r="D200" s="169"/>
      <c r="E200" s="169"/>
      <c r="F200" s="169"/>
      <c r="G200" s="169"/>
      <c r="H200" s="49">
        <f>ПТО!G18</f>
        <v>12000</v>
      </c>
      <c r="I200" s="50" t="s">
        <v>73</v>
      </c>
    </row>
    <row r="201" spans="1:10">
      <c r="A201" s="169" t="str">
        <f>ПТО!F19</f>
        <v xml:space="preserve">  -  изготовление и монтаж металлического ограждения газонов ( со стороны Байкальского тракта)</v>
      </c>
      <c r="B201" s="169"/>
      <c r="C201" s="169"/>
      <c r="D201" s="169"/>
      <c r="E201" s="169"/>
      <c r="F201" s="169"/>
      <c r="G201" s="169"/>
      <c r="H201" s="49">
        <f>ПТО!G19</f>
        <v>35000</v>
      </c>
      <c r="I201" s="50" t="s">
        <v>73</v>
      </c>
    </row>
    <row r="202" spans="1:10" ht="37.5" customHeight="1">
      <c r="A202" s="169" t="str">
        <f>ПТО!F20</f>
        <v xml:space="preserve">  -  изготовление и монтаж алюминиевых  переходных дверей  на цокольном этаже 3 шт. </v>
      </c>
      <c r="B202" s="169"/>
      <c r="C202" s="169"/>
      <c r="D202" s="169"/>
      <c r="E202" s="169"/>
      <c r="F202" s="169"/>
      <c r="G202" s="169"/>
      <c r="H202" s="49">
        <f>ПТО!G20</f>
        <v>70000</v>
      </c>
      <c r="I202" s="50" t="s">
        <v>73</v>
      </c>
    </row>
    <row r="203" spans="1:10" ht="36.75" customHeight="1">
      <c r="A203" s="169" t="str">
        <f>ПТО!F21</f>
        <v xml:space="preserve">  -  устройство и покраска бетонного пола в машинном отделении лифта.</v>
      </c>
      <c r="B203" s="169"/>
      <c r="C203" s="169"/>
      <c r="D203" s="169"/>
      <c r="E203" s="169"/>
      <c r="F203" s="169"/>
      <c r="G203" s="169"/>
      <c r="H203" s="49">
        <f>ПТО!G21</f>
        <v>1000</v>
      </c>
      <c r="I203" s="50" t="s">
        <v>73</v>
      </c>
    </row>
    <row r="204" spans="1:10" ht="36.75" customHeight="1">
      <c r="A204" s="169" t="str">
        <f>ПТО!F22</f>
        <v xml:space="preserve">  -  изготовление, монтаж металлических панелей для закрытия сейсмопоясов МКД</v>
      </c>
      <c r="B204" s="169"/>
      <c r="C204" s="169"/>
      <c r="D204" s="169"/>
      <c r="E204" s="169"/>
      <c r="F204" s="169"/>
      <c r="G204" s="169"/>
      <c r="H204" s="49">
        <f>ПТО!G22</f>
        <v>200000</v>
      </c>
      <c r="I204" s="50" t="s">
        <v>73</v>
      </c>
    </row>
    <row r="205" spans="1:10" ht="36.75" customHeight="1">
      <c r="A205" s="169" t="str">
        <f>ПТО!F23</f>
        <v xml:space="preserve">  -  косметический ремонт цокольного этажа (укладка плитки на стены)</v>
      </c>
      <c r="B205" s="169"/>
      <c r="C205" s="169"/>
      <c r="D205" s="169"/>
      <c r="E205" s="169"/>
      <c r="F205" s="169"/>
      <c r="G205" s="169"/>
      <c r="H205" s="49">
        <f>ПТО!G23</f>
        <v>100000</v>
      </c>
      <c r="I205" s="50" t="s">
        <v>73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73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73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73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73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73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73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73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490400</v>
      </c>
      <c r="I214" s="56" t="s">
        <v>76</v>
      </c>
    </row>
  </sheetData>
  <sheetProtection algorithmName="SHA-512" hashValue="LusqscILeAzcMCXfuzsuFLimJSccg3J39/UtSa3tBHVSHFNSMfwou7FtFqtoErqNwuKhRHZQ3KldA9p3LAO2Mg==" saltValue="63hEb8U4O0tUa1SnVSp4O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3" sqref="E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205</v>
      </c>
      <c r="G1" s="101">
        <f>-2363.7</f>
        <v>-2363.6999999999998</v>
      </c>
    </row>
    <row r="2" spans="1:12" ht="18.75" customHeight="1">
      <c r="A2" s="159" t="s">
        <v>176</v>
      </c>
      <c r="B2" s="118" t="s">
        <v>179</v>
      </c>
      <c r="C2" s="118">
        <v>2</v>
      </c>
      <c r="D2" s="119">
        <v>16200</v>
      </c>
      <c r="E2" s="122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9" t="s">
        <v>177</v>
      </c>
      <c r="B3" s="118" t="s">
        <v>180</v>
      </c>
      <c r="C3" s="118">
        <v>12</v>
      </c>
      <c r="D3" s="119">
        <v>12000</v>
      </c>
      <c r="E3" s="122" t="s">
        <v>215</v>
      </c>
      <c r="F3" s="30"/>
      <c r="G3" s="30"/>
      <c r="L3" s="33" t="str">
        <f t="shared" si="0"/>
        <v>ТР</v>
      </c>
    </row>
    <row r="4" spans="1:12" ht="18.75" customHeight="1">
      <c r="A4" s="159" t="s">
        <v>178</v>
      </c>
      <c r="B4" s="118" t="s">
        <v>180</v>
      </c>
      <c r="C4" s="118">
        <v>12</v>
      </c>
      <c r="D4" s="119">
        <v>30000</v>
      </c>
      <c r="E4" s="122" t="s">
        <v>216</v>
      </c>
      <c r="F4" s="30"/>
      <c r="G4" s="30"/>
      <c r="L4" s="33" t="str">
        <f t="shared" si="0"/>
        <v>ТР</v>
      </c>
    </row>
    <row r="5" spans="1:12" ht="18.75" customHeight="1">
      <c r="A5" s="153" t="s">
        <v>209</v>
      </c>
      <c r="B5" s="154" t="s">
        <v>207</v>
      </c>
      <c r="C5" s="155">
        <v>1</v>
      </c>
      <c r="D5" s="156">
        <v>1793.4</v>
      </c>
      <c r="E5" s="157" t="s">
        <v>211</v>
      </c>
      <c r="F5" s="44"/>
      <c r="G5" s="44"/>
      <c r="K5" s="46"/>
      <c r="L5" s="33" t="str">
        <f t="shared" si="0"/>
        <v>ТР</v>
      </c>
    </row>
    <row r="6" spans="1:12" ht="18.75" customHeight="1">
      <c r="A6" s="160" t="s">
        <v>206</v>
      </c>
      <c r="B6" s="161" t="s">
        <v>207</v>
      </c>
      <c r="C6" s="162">
        <v>1</v>
      </c>
      <c r="D6" s="163">
        <v>2352</v>
      </c>
      <c r="E6" s="164" t="s">
        <v>217</v>
      </c>
      <c r="F6" s="44"/>
      <c r="G6" s="44"/>
      <c r="K6" s="46"/>
      <c r="L6" s="33" t="str">
        <f t="shared" si="0"/>
        <v>ТР</v>
      </c>
    </row>
    <row r="7" spans="1:12" ht="18.75" customHeight="1">
      <c r="A7" s="165" t="s">
        <v>208</v>
      </c>
      <c r="B7" s="166" t="s">
        <v>207</v>
      </c>
      <c r="C7" s="117">
        <v>1</v>
      </c>
      <c r="D7" s="119">
        <v>8000</v>
      </c>
      <c r="E7" s="122" t="s">
        <v>218</v>
      </c>
      <c r="F7" s="45"/>
      <c r="G7" s="45"/>
      <c r="K7" s="46"/>
      <c r="L7" s="33" t="str">
        <f t="shared" si="0"/>
        <v>ТР</v>
      </c>
    </row>
    <row r="8" spans="1:12" ht="18.75" customHeight="1">
      <c r="A8" s="167" t="s">
        <v>210</v>
      </c>
      <c r="B8" s="168" t="s">
        <v>207</v>
      </c>
      <c r="C8" s="117">
        <v>1</v>
      </c>
      <c r="D8" s="119">
        <v>87914.33</v>
      </c>
      <c r="E8" s="122" t="s">
        <v>219</v>
      </c>
      <c r="F8" s="45"/>
      <c r="G8" s="45"/>
      <c r="K8" s="43"/>
      <c r="L8" s="33" t="str">
        <f t="shared" si="0"/>
        <v>ТР</v>
      </c>
    </row>
    <row r="9" spans="1:12">
      <c r="A9" s="152"/>
      <c r="B9" s="138"/>
      <c r="C9" s="139"/>
      <c r="D9" s="140"/>
      <c r="E9" s="122"/>
      <c r="F9" s="44"/>
      <c r="G9" s="44"/>
      <c r="K9" s="43"/>
      <c r="L9" s="33">
        <f t="shared" si="0"/>
        <v>0</v>
      </c>
    </row>
    <row r="10" spans="1:12">
      <c r="A10" s="137"/>
      <c r="B10" s="138"/>
      <c r="C10" s="139"/>
      <c r="D10" s="140"/>
      <c r="E10" s="122"/>
      <c r="F10" s="129"/>
      <c r="L10" s="33">
        <f t="shared" si="0"/>
        <v>0</v>
      </c>
    </row>
    <row r="11" spans="1:12" ht="94.5">
      <c r="A11" s="137"/>
      <c r="B11" s="138"/>
      <c r="C11" s="139"/>
      <c r="D11" s="140"/>
      <c r="E11" s="122"/>
      <c r="F11" s="111" t="s">
        <v>201</v>
      </c>
      <c r="G11" s="111"/>
      <c r="L11" s="33">
        <f t="shared" si="0"/>
        <v>0</v>
      </c>
    </row>
    <row r="12" spans="1:12" ht="31.5">
      <c r="A12" s="146"/>
      <c r="B12" s="141"/>
      <c r="C12" s="142"/>
      <c r="D12" s="143"/>
      <c r="E12" s="144"/>
      <c r="F12" s="112" t="s">
        <v>72</v>
      </c>
      <c r="G12" s="113">
        <v>1200</v>
      </c>
      <c r="L12" s="33">
        <f t="shared" si="0"/>
        <v>0</v>
      </c>
    </row>
    <row r="13" spans="1:12" ht="31.5">
      <c r="A13" s="147"/>
      <c r="B13" s="145"/>
      <c r="C13" s="117"/>
      <c r="D13" s="119"/>
      <c r="E13" s="122"/>
      <c r="F13" s="112" t="s">
        <v>183</v>
      </c>
      <c r="G13" s="113">
        <v>16200</v>
      </c>
      <c r="L13" s="33">
        <f t="shared" si="0"/>
        <v>0</v>
      </c>
    </row>
    <row r="14" spans="1:12" ht="31.5">
      <c r="A14" s="130"/>
      <c r="B14" s="131"/>
      <c r="C14" s="118"/>
      <c r="D14" s="119"/>
      <c r="E14" s="123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32"/>
      <c r="B15" s="133"/>
      <c r="C15" s="134"/>
      <c r="D15" s="135"/>
      <c r="E15" s="136"/>
      <c r="F15" s="112" t="s">
        <v>74</v>
      </c>
      <c r="G15" s="113">
        <v>30000</v>
      </c>
      <c r="L15" s="33">
        <f t="shared" si="0"/>
        <v>0</v>
      </c>
    </row>
    <row r="16" spans="1:12" ht="31.5">
      <c r="A16" s="127"/>
      <c r="B16" s="117"/>
      <c r="C16" s="124"/>
      <c r="D16" s="119"/>
      <c r="E16" s="128"/>
      <c r="F16" s="112" t="s">
        <v>185</v>
      </c>
      <c r="G16" s="113">
        <v>4000</v>
      </c>
      <c r="L16" s="33">
        <f t="shared" si="0"/>
        <v>0</v>
      </c>
    </row>
    <row r="17" spans="1:12" ht="31.5">
      <c r="A17" s="125"/>
      <c r="B17" s="126"/>
      <c r="C17" s="124"/>
      <c r="D17" s="119"/>
      <c r="E17" s="123"/>
      <c r="F17" s="112" t="s">
        <v>186</v>
      </c>
      <c r="G17" s="113">
        <v>9000</v>
      </c>
      <c r="L17" s="33">
        <f t="shared" si="0"/>
        <v>0</v>
      </c>
    </row>
    <row r="18" spans="1:12" ht="63">
      <c r="A18" s="30"/>
      <c r="B18" s="129"/>
      <c r="C18" s="129"/>
      <c r="D18" s="129"/>
      <c r="E18" s="129"/>
      <c r="F18" s="112" t="s">
        <v>187</v>
      </c>
      <c r="G18" s="113">
        <v>12000</v>
      </c>
      <c r="L18" s="33">
        <f t="shared" si="0"/>
        <v>0</v>
      </c>
    </row>
    <row r="19" spans="1:12" ht="47.25">
      <c r="A19" s="30"/>
      <c r="B19" s="129"/>
      <c r="C19" s="129"/>
      <c r="D19" s="129"/>
      <c r="E19" s="129"/>
      <c r="F19" s="112" t="s">
        <v>198</v>
      </c>
      <c r="G19" s="113">
        <v>35000</v>
      </c>
      <c r="L19" s="33">
        <f t="shared" si="0"/>
        <v>0</v>
      </c>
    </row>
    <row r="20" spans="1:12" ht="47.25">
      <c r="A20" s="30"/>
      <c r="B20" s="129"/>
      <c r="C20" s="129"/>
      <c r="D20" s="129"/>
      <c r="E20" s="129"/>
      <c r="F20" s="112" t="s">
        <v>199</v>
      </c>
      <c r="G20" s="113">
        <v>70000</v>
      </c>
      <c r="L20" s="33">
        <f t="shared" si="0"/>
        <v>0</v>
      </c>
    </row>
    <row r="21" spans="1:12" ht="31.5">
      <c r="A21" s="129"/>
      <c r="B21" s="129"/>
      <c r="C21" s="129"/>
      <c r="D21" s="129"/>
      <c r="E21" s="129"/>
      <c r="F21" s="112" t="s">
        <v>200</v>
      </c>
      <c r="G21" s="113">
        <v>1000</v>
      </c>
      <c r="L21" s="33">
        <f t="shared" si="0"/>
        <v>0</v>
      </c>
    </row>
    <row r="22" spans="1:12" ht="47.25">
      <c r="A22" s="129"/>
      <c r="B22" s="129"/>
      <c r="C22" s="129"/>
      <c r="D22" s="129"/>
      <c r="E22" s="129"/>
      <c r="F22" s="112" t="s">
        <v>212</v>
      </c>
      <c r="G22" s="113">
        <v>200000</v>
      </c>
      <c r="L22" s="33">
        <f t="shared" si="0"/>
        <v>0</v>
      </c>
    </row>
    <row r="23" spans="1:12" ht="31.5">
      <c r="A23" s="129"/>
      <c r="B23" s="129"/>
      <c r="C23" s="129"/>
      <c r="D23" s="129"/>
      <c r="E23" s="129"/>
      <c r="F23" s="112" t="s">
        <v>213</v>
      </c>
      <c r="G23" s="113">
        <v>100000</v>
      </c>
      <c r="L23" s="33">
        <f t="shared" ref="L23:L31" si="1">IF(A23&gt;0,"ТР",0)</f>
        <v>0</v>
      </c>
    </row>
    <row r="24" spans="1:12">
      <c r="A24" s="129"/>
      <c r="B24" s="129"/>
      <c r="C24" s="129"/>
      <c r="D24" s="129"/>
      <c r="E24" s="129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8">
        <v>212559.24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212559.24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169153.8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169153.8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58086.720000000001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58086.720000000001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76597.919999999998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76597.919999999998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49788.6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49788.6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158302.32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158302.32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197</v>
      </c>
      <c r="B46" s="148">
        <v>15957.96</v>
      </c>
      <c r="C46" s="38" t="s">
        <v>67</v>
      </c>
      <c r="D46" s="48">
        <v>12</v>
      </c>
      <c r="L46" s="40" t="str">
        <f>IF(A46&gt;0,"СОД",0)</f>
        <v>СОД</v>
      </c>
      <c r="M46" t="str">
        <f>A46</f>
        <v>Обслуживание пожарной сигнализации</v>
      </c>
      <c r="N46" s="41">
        <f t="shared" si="4"/>
        <v>15957.96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51"/>
      <c r="C47" s="149"/>
      <c r="D47" s="48"/>
      <c r="E47" s="151">
        <v>1231.5</v>
      </c>
      <c r="F47" s="151">
        <v>972</v>
      </c>
      <c r="L47" s="40">
        <f>IF(A47&gt;0,"СОД",0)</f>
        <v>0</v>
      </c>
      <c r="M47">
        <f>A47</f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8"/>
      <c r="C48" s="149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190</v>
      </c>
      <c r="F52" s="150" t="s">
        <v>191</v>
      </c>
      <c r="G52" s="150" t="s">
        <v>192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51">
        <v>5334.1</v>
      </c>
      <c r="G53" s="150">
        <v>3.83</v>
      </c>
      <c r="H53" s="150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193</v>
      </c>
      <c r="G54" s="150" t="s">
        <v>194</v>
      </c>
      <c r="H54" s="150">
        <f>H53*G56</f>
        <v>86.47904632459084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>
        <v>97.8</v>
      </c>
      <c r="H56" s="150"/>
    </row>
    <row r="57" spans="5:16">
      <c r="E57" s="150"/>
      <c r="F57" s="150"/>
      <c r="G57" s="150"/>
      <c r="H57" s="150"/>
    </row>
    <row r="58" spans="5:16">
      <c r="E58" s="150" t="s">
        <v>195</v>
      </c>
      <c r="F58" s="150"/>
      <c r="G58" s="150"/>
      <c r="H58" s="150"/>
    </row>
    <row r="59" spans="5:16">
      <c r="E59" s="150">
        <v>0.59599999999999997</v>
      </c>
      <c r="F59" s="151">
        <f>F53</f>
        <v>5334.1</v>
      </c>
      <c r="G59" s="150">
        <v>7.4999999999999997E-2</v>
      </c>
      <c r="H59" s="150">
        <f>G59*F47</f>
        <v>72.899999999999991</v>
      </c>
    </row>
    <row r="60" spans="5:16">
      <c r="E60" s="150"/>
      <c r="F60" s="150" t="s">
        <v>193</v>
      </c>
      <c r="G60" s="150" t="s">
        <v>194</v>
      </c>
      <c r="H60" s="150">
        <f>H59/F59</f>
        <v>1.3666785399598804E-2</v>
      </c>
    </row>
    <row r="61" spans="5:16">
      <c r="E61" s="150"/>
      <c r="F61" s="150">
        <v>12.94</v>
      </c>
      <c r="G61" s="150">
        <v>13.45</v>
      </c>
      <c r="H61" s="150">
        <f>H60*G56</f>
        <v>1.336611612080763</v>
      </c>
    </row>
    <row r="62" spans="5:16">
      <c r="E62" s="150" t="s">
        <v>196</v>
      </c>
      <c r="F62" s="150"/>
      <c r="G62" s="150"/>
      <c r="H62" s="150"/>
    </row>
    <row r="63" spans="5:16">
      <c r="E63" s="150">
        <v>0.59599999999999997</v>
      </c>
      <c r="F63" s="151">
        <f>F53</f>
        <v>5334.1</v>
      </c>
      <c r="G63" s="150">
        <v>7.4999999999999997E-2</v>
      </c>
      <c r="H63" s="150">
        <f>G63*F47</f>
        <v>72.899999999999991</v>
      </c>
    </row>
    <row r="64" spans="5:16">
      <c r="E64" s="150"/>
      <c r="F64" s="150" t="s">
        <v>193</v>
      </c>
      <c r="G64" s="150" t="s">
        <v>194</v>
      </c>
      <c r="H64" s="150">
        <f>H63/F63</f>
        <v>1.3666785399598804E-2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ctRBT8P1CMnjoTsE4UC+QM7dt2+6qo4tHDgeDVJDqKh1kcFVRzzzMgfuUCo4odyaN981Ti6a8JPGk52G2vGLQA==" saltValue="UQgaPlFvtl5lClBBVNFIq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5314.5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20">
        <v>4</v>
      </c>
      <c r="F2" s="121" t="s">
        <v>182</v>
      </c>
      <c r="G2" s="12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1028419.4000000004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1313744.3999999999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f>11.6*12*F1</f>
        <v>739778.39999999991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255096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f>5*12*F1</f>
        <v>318870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1304732.3999999994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1304732.3999999994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1304732.3999999994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1037431.4000000008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104</v>
      </c>
      <c r="B27" s="75" t="s">
        <v>3</v>
      </c>
      <c r="C27" s="86">
        <v>138039.35999999999</v>
      </c>
      <c r="D27" s="81" t="s">
        <v>59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107</v>
      </c>
      <c r="B30" s="75" t="s">
        <v>17</v>
      </c>
      <c r="C30" s="86">
        <f>C27+21180.25</f>
        <v>159219.60999999999</v>
      </c>
      <c r="D30" s="81" t="s">
        <v>65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9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162266.28000000006</v>
      </c>
      <c r="F37" s="94" t="s">
        <v>166</v>
      </c>
      <c r="G37" s="66"/>
      <c r="H37" s="66"/>
      <c r="I37" s="66"/>
      <c r="L37" s="63"/>
      <c r="M37" s="198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11852.371579738981</v>
      </c>
      <c r="D38" s="94" t="s">
        <v>164</v>
      </c>
      <c r="E38" s="68"/>
      <c r="G38" s="67"/>
      <c r="H38" s="67"/>
      <c r="L38" s="63"/>
      <c r="M38" s="198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155422.08000000005</v>
      </c>
      <c r="D39" s="94" t="s">
        <v>165</v>
      </c>
      <c r="E39" s="68"/>
      <c r="G39" s="67"/>
      <c r="H39" s="67"/>
      <c r="L39" s="63"/>
      <c r="M39" s="198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6844.2000000000116</v>
      </c>
      <c r="D40" s="80" t="s">
        <v>58</v>
      </c>
      <c r="E40" s="158"/>
      <c r="G40" s="67"/>
      <c r="H40" s="67"/>
      <c r="L40" s="63"/>
      <c r="M40" s="198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162266.28000000006</v>
      </c>
      <c r="D41" s="80" t="s">
        <v>58</v>
      </c>
      <c r="E41" s="158"/>
      <c r="G41" s="67"/>
      <c r="H41" s="67"/>
      <c r="L41" s="63"/>
      <c r="M41" s="198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162266.28000000006</v>
      </c>
      <c r="D42" s="80" t="s">
        <v>58</v>
      </c>
      <c r="E42" s="158"/>
      <c r="G42" s="67"/>
      <c r="H42" s="67"/>
      <c r="L42" s="63"/>
      <c r="M42" s="198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8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8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314957.98999999987</v>
      </c>
      <c r="F45" s="94" t="s">
        <v>166</v>
      </c>
      <c r="G45" s="66"/>
      <c r="H45" s="66"/>
      <c r="L45" s="63"/>
      <c r="M45" s="198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18922.53897864739</v>
      </c>
      <c r="D46" s="94" t="s">
        <v>167</v>
      </c>
      <c r="E46" s="68"/>
      <c r="G46" s="67"/>
      <c r="H46" s="67"/>
      <c r="L46" s="63"/>
      <c r="M46" s="198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300621.93999999989</v>
      </c>
      <c r="D47" s="94" t="s">
        <v>165</v>
      </c>
      <c r="E47" s="68"/>
      <c r="G47" s="67"/>
      <c r="H47" s="67"/>
      <c r="L47" s="63"/>
      <c r="M47" s="198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14336.049999999988</v>
      </c>
      <c r="D48" s="80" t="s">
        <v>58</v>
      </c>
      <c r="E48" s="68"/>
      <c r="G48" s="67"/>
      <c r="H48" s="67"/>
      <c r="L48" s="63"/>
      <c r="M48" s="198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314957.98999999987</v>
      </c>
      <c r="D49" s="80" t="s">
        <v>58</v>
      </c>
      <c r="E49" s="68"/>
      <c r="G49" s="67"/>
      <c r="H49" s="67"/>
      <c r="L49" s="63"/>
      <c r="M49" s="198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314957.98999999987</v>
      </c>
      <c r="D50" s="80" t="s">
        <v>58</v>
      </c>
      <c r="E50" s="68"/>
      <c r="G50" s="67"/>
      <c r="H50" s="67"/>
      <c r="L50" s="63"/>
      <c r="M50" s="198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8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8"/>
      <c r="N52" s="63"/>
      <c r="O52" s="63"/>
    </row>
    <row r="53" spans="1:15" ht="18.75">
      <c r="A53" s="73" t="s">
        <v>128</v>
      </c>
      <c r="B53" s="77" t="s">
        <v>55</v>
      </c>
      <c r="C53" s="96">
        <f>IF(E53&gt;0,"Предоставляется",0)</f>
        <v>0</v>
      </c>
      <c r="D53" s="96" t="s">
        <v>54</v>
      </c>
      <c r="E53" s="95"/>
      <c r="F53" s="94" t="s">
        <v>166</v>
      </c>
      <c r="G53" s="66"/>
      <c r="H53" s="66"/>
      <c r="L53" s="63"/>
      <c r="M53" s="198"/>
      <c r="N53" s="63"/>
      <c r="O53" s="63"/>
    </row>
    <row r="54" spans="1:15" ht="18.75" customHeight="1">
      <c r="A54" s="73" t="s">
        <v>129</v>
      </c>
      <c r="B54" s="75" t="s">
        <v>36</v>
      </c>
      <c r="C54" s="98"/>
      <c r="D54" s="94" t="s">
        <v>167</v>
      </c>
      <c r="E54" s="69"/>
      <c r="F54" s="89"/>
      <c r="G54" s="64"/>
      <c r="H54" s="64"/>
      <c r="L54" s="63"/>
      <c r="M54" s="198"/>
      <c r="N54" s="63"/>
      <c r="O54" s="63"/>
    </row>
    <row r="55" spans="1:15" ht="18.75" customHeight="1">
      <c r="A55" s="73" t="s">
        <v>130</v>
      </c>
      <c r="B55" s="75" t="s">
        <v>37</v>
      </c>
      <c r="C55" s="86"/>
      <c r="D55" s="94" t="s">
        <v>165</v>
      </c>
      <c r="E55" s="69"/>
      <c r="G55" s="64"/>
      <c r="H55" s="64"/>
      <c r="L55" s="63"/>
      <c r="M55" s="198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8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0</v>
      </c>
      <c r="D57" s="80" t="s">
        <v>58</v>
      </c>
      <c r="E57" s="69"/>
      <c r="G57" s="64"/>
      <c r="H57" s="64"/>
      <c r="L57" s="63"/>
      <c r="M57" s="198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0</v>
      </c>
      <c r="D58" s="80" t="s">
        <v>58</v>
      </c>
      <c r="E58" s="69"/>
      <c r="G58" s="64"/>
      <c r="H58" s="64"/>
      <c r="L58" s="63"/>
      <c r="M58" s="198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8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8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2023-03-31T03:07:52Z</dcterms:modified>
</cp:coreProperties>
</file>