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8" i="3"/>
  <c r="C6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G94" i="1"/>
  <c r="K94" i="1"/>
  <c r="A112" i="1" l="1"/>
  <c r="A110" i="1"/>
  <c r="A115" i="1"/>
  <c r="F102" i="1"/>
  <c r="D110" i="1"/>
  <c r="A116" i="1"/>
  <c r="A111" i="1"/>
  <c r="A100" i="1"/>
  <c r="A119" i="1"/>
  <c r="A113" i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<sst xmlns="http://schemas.openxmlformats.org/spreadsheetml/2006/main" count="596" uniqueCount="235">
  <si>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</si>
  <si>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</si>
  <si>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</si>
  <si>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</si>
  <si>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</si>
  <si>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</si>
  <si>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</si>
  <si>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</si>
  <si>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</si>
  <si>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</si>
  <si>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</si>
  <si>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</si>
  <si>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</si>
  <si>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</si>
  <si>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</si>
  <si>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</si>
  <si>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</si>
  <si>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</si>
  <si>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</si>
  <si>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</si>
  <si>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</si>
  <si>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</si>
  <si>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</si>
  <si>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</si>
  <si>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</si>
  <si>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</si>
  <si>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</si>
  <si>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</si>
  <si>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</si>
  <si>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</si>
  <si>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</si>
  <si>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</si>
  <si>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</si>
  <si>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</si>
  <si>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</si>
  <si>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</si>
  <si>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</si>
  <si>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</si>
  <si>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</si>
  <si>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</si>
  <si>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</si>
  <si>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</si>
  <si>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</si>
  <si>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</si>
  <si>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</si>
  <si>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</si>
  <si>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</si>
  <si>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</si>
  <si>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</si>
  <si>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</si>
  <si>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</si>
  <si>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</si>
  <si>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</si>
  <si>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</si>
  <si>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</si>
  <si>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</si>
  <si>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</si>
  <si>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</si>
  <si>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</si>
  <si>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</si>
  <si>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</si>
  <si>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</si>
  <si>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</si>
  <si>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</si>
  <si>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</si>
  <si>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</si>
  <si>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</si>
  <si>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</si>
  <si>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</si>
  <si>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</si>
  <si>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</si>
  <si>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</si>
  <si>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</si>
  <si>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</si>
  <si>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</si>
  <si>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</si>
  <si>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</si>
  <si>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</si>
  <si>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</si>
  <si>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</si>
  <si>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</si>
  <si>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</si>
  <si>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</si>
  <si>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</si>
  <si>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</si>
  <si>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</si>
  <si>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</si>
  <si>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</si>
  <si>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</si>
  <si>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</si>
  <si>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</si>
  <si>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</si>
  <si>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</si>
  <si>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</si>
  <si>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</si>
  <si>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</si>
  <si>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</si>
  <si>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</si>
  <si>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</si>
  <si>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</si>
  <si>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</si>
  <si>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</si>
  <si>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</si>
  <si>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</si>
  <si>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</si>
  <si>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</si>
  <si>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</si>
  <si>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</si>
  <si>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</si>
  <si>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</si>
  <si>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</si>
  <si>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</si>
  <si>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</si>
  <si>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</si>
  <si>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</si>
  <si>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</si>
  <si>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</si>
  <si>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</si>
  <si>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</si>
  <si>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</si>
  <si>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</si>
  <si>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</si>
  <si>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</si>
  <si>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</si>
  <si>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</si>
  <si>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</si>
  <si>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</si>
  <si>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</si>
  <si>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</si>
  <si>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</si>
  <si>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</si>
  <si>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</si>
  <si>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</si>
  <si>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</si>
  <si>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</si>
  <si>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</si>
  <si>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</si>
  <si>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</si>
  <si>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</si>
  <si>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</si>
  <si>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</si>
  <si>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</si>
  <si>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</si>
  <si>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</si>
  <si>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</si>
  <si>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</si>
  <si>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</si>
  <si>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</si>
  <si>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</si>
  <si>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</si>
  <si>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</si>
  <si>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</si>
  <si>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</si>
  <si>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</si>
  <si>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</si>
  <si>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</si>
  <si>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</si>
  <si>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</si>
  <si>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</si>
  <si>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</si>
  <si>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</si>
  <si>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</si>
  <si>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</si>
  <si>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</si>
  <si>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</si>
  <si>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</si>
  <si>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</si>
  <si>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</si>
  <si>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</si>
  <si>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</si>
  <si>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</si>
  <si>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</si>
  <si>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</si>
  <si>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</si>
  <si>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</si>
  <si>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</si>
  <si>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</si>
  <si>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</si>
  <si>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</si>
  <si>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</si>
  <si>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</si>
  <si>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 xml:space="preserve">площадь дома </t>
  </si>
  <si>
    <t>с 01.03.2018 приказ №8 от 19.03.2018, протокол №1 от 26.06.2016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</si>
  <si>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</si>
  <si>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</si>
  <si>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</si>
  <si>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319 в части текущего ремонта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</si>
  <si>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</si>
  <si>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</si>
  <si>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</si>
  <si>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</si>
  <si>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</si>
  <si>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</si>
  <si>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</si>
  <si>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</si>
  <si>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покупка запасных светильников в лифтовые и приквартирные холлы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</si>
  <si>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</si>
  <si>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</si>
  <si>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</si>
  <si>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</si>
  <si>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</si>
  <si>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Приобретение и замена контейнеров для ТКО (3 шт.).</t>
  </si>
  <si>
    <t>разово</t>
  </si>
  <si>
    <t>Ремонт подъезда.</t>
  </si>
  <si>
    <t>Испытание пожарных кранов (32 шт.).</t>
  </si>
  <si>
    <t>Приобретение и замена общедомового прибора учета холодного водоснабжения.</t>
  </si>
  <si>
    <t>Приобретение и монтаж противоскользящей дорожки с металлическим креплением.</t>
  </si>
  <si>
    <t>АВР 1/22 от 26.04.2022</t>
  </si>
  <si>
    <t>Благоустройство придомовой территории (срезка и вывоз поврежденного асфальтобетона).</t>
  </si>
  <si>
    <t>АВР 2/22 от 06.06.2022, Решение, счет №9778 от 01.04.2022, договор от 01.04.2022</t>
  </si>
  <si>
    <t>Приобретение и монтаж металлических листов для укрытия деформационных швов (4 шт.).</t>
  </si>
  <si>
    <t>Приобретение дополнительных светильников(10 шт.).</t>
  </si>
  <si>
    <t>Покупка и замена дверного доводчика (1 шт. лестничный марш).</t>
  </si>
  <si>
    <t>АВР 3/22 от 07.10.2022, Решение, счет №201 от 02.03.2022</t>
  </si>
  <si>
    <t>АВР 5/22 от 07.10.2022,Решение, счет №5528 от 26.04.2022</t>
  </si>
  <si>
    <t>АВР 6/22 от 07.10.2022, Решение, счет №А22-00201 от 08.06.2022</t>
  </si>
  <si>
    <t>АВР 7/22 от 07.10.2022, Решение, счет №2671 от 04.07.2022</t>
  </si>
  <si>
    <t>АВР 8/22 от 07.10.2022, Решение, счет №10139 от 23.05.2022</t>
  </si>
  <si>
    <t>Замена проходных дверей в лифтовом холле (1 этаж, 1 шт.).</t>
  </si>
  <si>
    <t>Приобретение и монтаж противоскользящей ленты.</t>
  </si>
  <si>
    <t>АВР 9/22 от 07.12.2022, Решение, счет №4243 от 20.07.2022</t>
  </si>
  <si>
    <t>АВР 10/22 от 07.12.2022, Решение, счет №4981 от 20.04.2022</t>
  </si>
  <si>
    <t>АВР 11/22 от 07.12.2022, Решение, счет №1316 от 08.11.2022</t>
  </si>
  <si>
    <t>АВР 12/22 от 07.12.2022</t>
  </si>
  <si>
    <t>АВР 13/22 от 07.12.2022</t>
  </si>
  <si>
    <t>АВР 4/22 от 07.12.2022, Решение, счет №2324 от 13.04.2022</t>
  </si>
  <si>
    <t>Приобретение светодиодных светильников в резерв (10 шт.).</t>
  </si>
  <si>
    <t xml:space="preserve">  -  монтаж уличных светодиодных светильников за домами 1-ой очереди (3 шт.)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</si>
  <si>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</si>
  <si>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изготовление, монтаж металлических панелей для закрытия сейсмопоясов МКД</t>
  </si>
  <si>
    <t xml:space="preserve">  -  ремонт незадымляемых переходов</t>
  </si>
  <si>
    <t xml:space="preserve">  -  косметический ремонт подъезда</t>
  </si>
  <si>
    <t>охрана</t>
  </si>
  <si>
    <t>в содержании, т.к. там наш склад</t>
  </si>
  <si>
    <t>АВР 14/22 от 25.12.2022, Решение, счет №ЦБ-443 от 15.12.2022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</si>
</sst>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2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0" fillId="0" borderId="0"/>
  </cellStyleXfs>
  <cellXfs count="207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23" fillId="0" borderId="0" xfId="5" applyFill="1" applyBorder="1" applyAlignment="1">
      <alignment horizontal="center"/>
    </xf>
    <xf numFmtId="4" fontId="37" fillId="0" borderId="0" xfId="5" applyNumberFormat="1" applyFont="1" applyFill="1" applyBorder="1" applyAlignment="1"/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4" fontId="3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2" fillId="0" borderId="0" xfId="6" applyFill="1" applyBorder="1" applyAlignment="1">
      <alignment horizontal="center"/>
    </xf>
    <xf numFmtId="0" fontId="37" fillId="0" borderId="0" xfId="6" applyFont="1" applyFill="1" applyBorder="1" applyAlignment="1">
      <alignment horizontal="center"/>
    </xf>
    <xf numFmtId="4" fontId="37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2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0" fillId="0" borderId="0" xfId="0" applyFont="1" applyBorder="1" applyAlignment="1">
      <alignment wrapText="1"/>
    </xf>
    <xf numFmtId="4" fontId="29" fillId="0" borderId="0" xfId="0" applyNumberFormat="1" applyFont="1" applyBorder="1"/>
    <xf numFmtId="0" fontId="20" fillId="0" borderId="0" xfId="2" applyFont="1" applyFill="1" applyBorder="1" applyAlignment="1"/>
    <xf numFmtId="0" fontId="0" fillId="0" borderId="0" xfId="0" applyFill="1"/>
    <xf numFmtId="0" fontId="16" fillId="0" borderId="0" xfId="6" applyFont="1" applyFill="1" applyBorder="1" applyAlignment="1"/>
    <xf numFmtId="0" fontId="16" fillId="0" borderId="0" xfId="6" applyFont="1" applyFill="1" applyBorder="1" applyAlignment="1">
      <alignment horizontal="center"/>
    </xf>
    <xf numFmtId="0" fontId="47" fillId="0" borderId="0" xfId="21" applyFont="1" applyFill="1" applyBorder="1" applyAlignment="1"/>
    <xf numFmtId="0" fontId="15" fillId="0" borderId="0" xfId="22" applyFont="1" applyFill="1" applyBorder="1" applyAlignment="1">
      <alignment horizontal="center"/>
    </xf>
    <xf numFmtId="0" fontId="15" fillId="0" borderId="0" xfId="22" applyFill="1" applyBorder="1" applyAlignment="1">
      <alignment horizontal="center"/>
    </xf>
    <xf numFmtId="4" fontId="15" fillId="0" borderId="0" xfId="22" applyNumberFormat="1" applyFill="1" applyBorder="1" applyAlignment="1"/>
    <xf numFmtId="4" fontId="37" fillId="0" borderId="0" xfId="22" applyNumberFormat="1" applyFont="1" applyFill="1" applyBorder="1" applyAlignment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39" fillId="3" borderId="0" xfId="25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0" fontId="9" fillId="0" borderId="0" xfId="6" applyFont="1" applyFill="1" applyBorder="1" applyAlignment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3" fillId="0" borderId="0" xfId="6" applyFont="1" applyFill="1" applyBorder="1" applyAlignme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4" fontId="37" fillId="0" borderId="0" xfId="5" applyNumberFormat="1" applyFont="1" applyFill="1" applyBorder="1" applyAlignment="1">
      <alignment horizontal="left"/>
    </xf>
    <xf numFmtId="0" fontId="47" fillId="0" borderId="0" xfId="5" applyFont="1" applyFill="1" applyBorder="1" applyAlignment="1"/>
    <xf numFmtId="0" fontId="7" fillId="0" borderId="0" xfId="6" applyFont="1" applyFill="1" applyBorder="1" applyAlignment="1">
      <alignment horizontal="center"/>
    </xf>
    <xf numFmtId="4" fontId="22" fillId="0" borderId="0" xfId="6" applyNumberFormat="1" applyFill="1" applyBorder="1" applyAlignment="1"/>
    <xf numFmtId="0" fontId="6" fillId="0" borderId="0" xfId="15" applyFont="1" applyFill="1" applyBorder="1" applyAlignment="1">
      <alignment horizontal="center"/>
    </xf>
    <xf numFmtId="0" fontId="17" fillId="0" borderId="0" xfId="15" applyFill="1" applyBorder="1" applyAlignment="1">
      <alignment horizontal="center"/>
    </xf>
    <xf numFmtId="4" fontId="37" fillId="0" borderId="0" xfId="15" applyNumberFormat="1" applyFont="1" applyFill="1" applyBorder="1" applyAlignment="1"/>
    <xf numFmtId="0" fontId="0" fillId="0" borderId="0" xfId="0" applyFill="1" applyBorder="1" applyAlignment="1"/>
    <xf numFmtId="0" fontId="4" fillId="0" borderId="0" xfId="15" applyFont="1" applyFill="1" applyBorder="1" applyAlignment="1"/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10" fillId="0" borderId="0" xfId="26" applyFon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2" fillId="0" borderId="0" xfId="8" applyFont="1" applyFill="1"/>
    <xf numFmtId="0" fontId="23" fillId="0" borderId="0" xfId="5" applyFill="1" applyBorder="1" applyAlignment="1"/>
    <xf numFmtId="0" fontId="20" fillId="0" borderId="0" xfId="5" applyFont="1" applyFill="1" applyBorder="1" applyAlignment="1"/>
    <xf numFmtId="0" fontId="37" fillId="0" borderId="0" xfId="5" applyFont="1" applyFill="1" applyBorder="1" applyAlignment="1">
      <alignment horizontal="center"/>
    </xf>
    <xf numFmtId="0" fontId="47" fillId="0" borderId="0" xfId="5" applyFont="1" applyFill="1" applyBorder="1" applyAlignment="1">
      <alignment wrapText="1"/>
    </xf>
    <xf numFmtId="0" fontId="11" fillId="0" borderId="0" xfId="6" applyFont="1" applyFill="1" applyBorder="1" applyAlignment="1">
      <alignment horizontal="center"/>
    </xf>
    <xf numFmtId="0" fontId="30" fillId="3" borderId="0" xfId="0" applyFont="1" applyFill="1" applyBorder="1" applyAlignment="1">
      <alignment wrapText="1"/>
    </xf>
    <xf numFmtId="4" fontId="29" fillId="0" borderId="0" xfId="1" applyNumberFormat="1" applyFont="1" applyBorder="1" applyAlignment="1" applyProtection="1">
      <alignment horizontal="center" vertical="center" wrapText="1"/>
      <protection locked="0"/>
    </xf>
    <xf numFmtId="0" fontId="1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27" fillId="0" borderId="0" xfId="0" applyFont="1" applyFill="1" applyBorder="1" applyAlignment="1">
      <alignment horizontal="left" wrapText="1"/>
    </xf>
    <xf numFmtId="0" fontId="29" fillId="0" borderId="1" xfId="1" applyFont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29" fillId="3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/>
    </xf>
    <xf numFmtId="0" fontId="31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center" vertical="center"/>
    </xf>
    <xf numFmtId="4" fontId="31" fillId="0" borderId="1" xfId="1" applyNumberFormat="1" applyFont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9" fillId="3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29" fillId="0" borderId="1" xfId="0" applyFont="1" applyBorder="1" applyAlignment="1">
      <alignment horizontal="left" wrapText="1"/>
    </xf>
    <xf numFmtId="0" fontId="29" fillId="0" borderId="1" xfId="1" applyFont="1" applyBorder="1" applyAlignment="1">
      <alignment horizontal="left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4"/>
    <cellStyle name="Обычный 2 4" xfId="11"/>
    <cellStyle name="Обычный 2 5" xfId="18"/>
    <cellStyle name="Обычный 2 5 2" xfId="25"/>
    <cellStyle name="Обычный 3" xfId="2"/>
    <cellStyle name="Обычный 3 2" xfId="12"/>
    <cellStyle name="Обычный 3 3" xfId="19"/>
    <cellStyle name="Обычный 4" xfId="4"/>
    <cellStyle name="Обычный 4 2" xfId="6"/>
    <cellStyle name="Обычный 4 2 2" xfId="10"/>
    <cellStyle name="Обычный 4 2 3" xfId="15"/>
    <cellStyle name="Обычный 4 2 3 3" xfId="26"/>
    <cellStyle name="Обычный 4 2 4" xfId="22"/>
    <cellStyle name="Обычный 4 3" xfId="13"/>
    <cellStyle name="Обычный 4 4" xfId="20"/>
    <cellStyle name="Обычный 5" xfId="5"/>
    <cellStyle name="Обычный 5 2" xfId="9"/>
    <cellStyle name="Обычный 5 3" xfId="7"/>
    <cellStyle name="Обычный 5 3 2" xfId="16"/>
    <cellStyle name="Обычный 5 3 3" xfId="23"/>
    <cellStyle name="Обычный 5 4" xfId="14"/>
    <cellStyle name="Обычный 5 5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3" t="s">
        <v>176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7" t="s">
        <v>2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4"/>
      <c r="M8" s="109"/>
      <c r="N8" s="109"/>
      <c r="O8" s="70" t="s">
        <v>82</v>
      </c>
      <c r="R8" s="16"/>
    </row>
    <row r="9" spans="1:18" ht="18.75" customHeight="1" outlineLevel="1">
      <c r="A9" s="187" t="s">
        <v>3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4"/>
      <c r="M9" s="109"/>
      <c r="N9" s="109"/>
      <c r="O9" s="70" t="s">
        <v>83</v>
      </c>
    </row>
    <row r="10" spans="1:18" ht="18.75" customHeight="1" outlineLevel="1">
      <c r="A10" s="187" t="s">
        <v>4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2230268.13</v>
      </c>
      <c r="K10" s="109"/>
      <c r="L10" s="194"/>
      <c r="M10" s="109"/>
      <c r="N10" s="109"/>
      <c r="O10" s="70" t="s">
        <v>84</v>
      </c>
    </row>
    <row r="11" spans="1:18" outlineLevel="1">
      <c r="A11" s="187" t="s">
        <v>5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1968287.0399999998</v>
      </c>
      <c r="K11" s="109"/>
      <c r="L11" s="194"/>
      <c r="M11" s="109"/>
      <c r="N11" s="109"/>
      <c r="O11" s="70" t="s">
        <v>85</v>
      </c>
    </row>
    <row r="12" spans="1:18" ht="18.75" customHeight="1" outlineLevel="1">
      <c r="A12" s="187" t="s">
        <v>6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1057043.0399999998</v>
      </c>
      <c r="K12" s="109"/>
      <c r="L12" s="194"/>
      <c r="M12" s="109"/>
      <c r="N12" s="109"/>
      <c r="O12" s="70" t="s">
        <v>86</v>
      </c>
    </row>
    <row r="13" spans="1:18" ht="18.75" customHeight="1" outlineLevel="1">
      <c r="A13" s="187" t="s">
        <v>7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455622</v>
      </c>
      <c r="K13" s="109"/>
      <c r="L13" s="194"/>
      <c r="M13" s="109"/>
      <c r="N13" s="109"/>
      <c r="O13" s="70" t="s">
        <v>87</v>
      </c>
    </row>
    <row r="14" spans="1:18" ht="18.75" customHeight="1" outlineLevel="1">
      <c r="A14" s="187" t="s">
        <v>8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455622</v>
      </c>
      <c r="K14" s="109"/>
      <c r="L14" s="194"/>
      <c r="M14" s="109"/>
      <c r="N14" s="109"/>
      <c r="O14" s="70" t="s">
        <v>88</v>
      </c>
    </row>
    <row r="15" spans="1:18" ht="18.75" customHeight="1" outlineLevel="1">
      <c r="A15" s="187" t="s">
        <v>9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1924514.7800000007</v>
      </c>
      <c r="K15" s="109"/>
      <c r="L15" s="194"/>
      <c r="M15" s="109"/>
      <c r="N15" s="109"/>
      <c r="O15" s="70" t="s">
        <v>89</v>
      </c>
    </row>
    <row r="16" spans="1:18" ht="18.75" customHeight="1" outlineLevel="1">
      <c r="A16" s="187" t="s">
        <v>10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1924514.7800000007</v>
      </c>
      <c r="K16" s="109"/>
      <c r="L16" s="194"/>
      <c r="M16" s="109"/>
      <c r="N16" s="109"/>
      <c r="O16" s="70" t="s">
        <v>90</v>
      </c>
    </row>
    <row r="17" spans="1:23" ht="18.75" customHeight="1" outlineLevel="1">
      <c r="A17" s="187" t="s">
        <v>11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4"/>
      <c r="M17" s="109"/>
      <c r="N17" s="109"/>
      <c r="O17" s="70" t="s">
        <v>91</v>
      </c>
    </row>
    <row r="18" spans="1:23" ht="18.75" customHeight="1" outlineLevel="1">
      <c r="A18" s="187" t="s">
        <v>12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4"/>
      <c r="M18" s="109"/>
      <c r="N18" s="109"/>
      <c r="O18" s="70" t="s">
        <v>92</v>
      </c>
    </row>
    <row r="19" spans="1:23" ht="18.75" customHeight="1" outlineLevel="1">
      <c r="A19" s="187" t="s">
        <v>13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4"/>
      <c r="M19" s="109"/>
      <c r="N19" s="109"/>
      <c r="O19" s="70" t="s">
        <v>93</v>
      </c>
    </row>
    <row r="20" spans="1:23" ht="18.75" customHeight="1" outlineLevel="1">
      <c r="A20" s="187" t="s">
        <v>14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4"/>
      <c r="M20" s="109"/>
      <c r="N20" s="109"/>
      <c r="O20" s="70" t="s">
        <v>94</v>
      </c>
    </row>
    <row r="21" spans="1:23" ht="18.75" customHeight="1" outlineLevel="1">
      <c r="A21" s="187" t="s">
        <v>15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1924514.7800000007</v>
      </c>
      <c r="K21" s="109"/>
      <c r="L21" s="194"/>
      <c r="M21" s="109"/>
      <c r="N21" s="109"/>
      <c r="O21" s="70" t="s">
        <v>95</v>
      </c>
    </row>
    <row r="22" spans="1:23" ht="18.75" customHeight="1" outlineLevel="1">
      <c r="A22" s="187" t="s">
        <v>16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4"/>
      <c r="M22" s="109"/>
      <c r="N22" s="109"/>
      <c r="O22" s="70" t="s">
        <v>96</v>
      </c>
    </row>
    <row r="23" spans="1:23" ht="18.75" customHeight="1" outlineLevel="1">
      <c r="A23" s="187" t="s">
        <v>17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4"/>
      <c r="M23" s="109"/>
      <c r="N23" s="109"/>
      <c r="O23" s="70" t="s">
        <v>97</v>
      </c>
    </row>
    <row r="24" spans="1:23" ht="18.75" customHeight="1" outlineLevel="1">
      <c r="A24" s="187" t="s">
        <v>18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2274040.3899999992</v>
      </c>
      <c r="K24" s="109"/>
      <c r="L24" s="19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6" t="s">
        <v>19</v>
      </c>
      <c r="B27" s="186"/>
      <c r="C27" s="186"/>
      <c r="D27" s="186"/>
      <c r="E27" s="186"/>
      <c r="F27" s="186" t="s">
        <v>20</v>
      </c>
      <c r="G27" s="186"/>
      <c r="H27" s="5" t="s">
        <v>57</v>
      </c>
      <c r="I27" s="186" t="s">
        <v>21</v>
      </c>
      <c r="J27" s="186"/>
      <c r="K27" s="109"/>
      <c r="L27" s="19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83">
        <f>VLOOKUP(A28,ПТО!$A$39:$D$53,2,FALSE)</f>
        <v>483908.76</v>
      </c>
      <c r="G28" s="183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9"/>
      <c r="L28" s="19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83">
        <f>VLOOKUP(A29,ПТО!$A$39:$D$53,2,FALSE)</f>
        <v>169504.8</v>
      </c>
      <c r="G29" s="183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9"/>
      <c r="L29" s="19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8"/>
      <c r="C30" s="178"/>
      <c r="D30" s="178"/>
      <c r="E30" s="178"/>
      <c r="F30" s="183">
        <f>VLOOKUP(A30,ПТО!$A$39:$D$53,2,FALSE)</f>
        <v>42831.839999999997</v>
      </c>
      <c r="G30" s="183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9"/>
      <c r="L30" s="19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83">
        <f>VLOOKUP(A31,ПТО!$A$39:$D$53,2,FALSE)</f>
        <v>109357.56</v>
      </c>
      <c r="G31" s="183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9"/>
      <c r="L31" s="19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8">
        <f>ПТО!A43</f>
        <v>0</v>
      </c>
      <c r="B32" s="178"/>
      <c r="C32" s="178"/>
      <c r="D32" s="178"/>
      <c r="E32" s="178"/>
      <c r="F32" s="183" t="e">
        <f>VLOOKUP(A32,ПТО!$A$39:$D$53,2,FALSE)</f>
        <v>#N/A</v>
      </c>
      <c r="G32" s="183"/>
      <c r="H32" s="42" t="e">
        <f>VLOOKUP(A32,ПТО!$A$39:$D$53,3,FALSE)</f>
        <v>#N/A</v>
      </c>
      <c r="I32" s="179" t="e">
        <f>VLOOKUP(A32,ПТО!$A$39:$D$53,4,FALSE)</f>
        <v>#N/A</v>
      </c>
      <c r="J32" s="179"/>
      <c r="K32" s="109"/>
      <c r="L32" s="19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83">
        <f>VLOOKUP(A33,ПТО!$A$39:$D$53,2,FALSE)</f>
        <v>71082.600000000006</v>
      </c>
      <c r="G33" s="183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9"/>
      <c r="L33" s="19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83">
        <f>VLOOKUP(A34,ПТО!$A$39:$D$53,2,FALSE)</f>
        <v>157657.68</v>
      </c>
      <c r="G34" s="183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9"/>
      <c r="L34" s="19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8">
        <f>ПТО!A46</f>
        <v>0</v>
      </c>
      <c r="B35" s="178"/>
      <c r="C35" s="178"/>
      <c r="D35" s="178"/>
      <c r="E35" s="178"/>
      <c r="F35" s="183" t="e">
        <f>VLOOKUP(A35,ПТО!$A$39:$D$53,2,FALSE)</f>
        <v>#N/A</v>
      </c>
      <c r="G35" s="183"/>
      <c r="H35" s="42" t="e">
        <f>VLOOKUP(A35,ПТО!$A$39:$D$53,3,FALSE)</f>
        <v>#N/A</v>
      </c>
      <c r="I35" s="179" t="e">
        <f>VLOOKUP(A35,ПТО!$A$39:$D$53,4,FALSE)</f>
        <v>#N/A</v>
      </c>
      <c r="J35" s="179"/>
      <c r="K35" s="109"/>
      <c r="L35" s="195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78">
        <f>ПТО!A47</f>
        <v>0</v>
      </c>
      <c r="B36" s="178"/>
      <c r="C36" s="178"/>
      <c r="D36" s="178"/>
      <c r="E36" s="178"/>
      <c r="F36" s="183" t="e">
        <f>VLOOKUP(A36,ПТО!$A$39:$D$53,2,FALSE)</f>
        <v>#N/A</v>
      </c>
      <c r="G36" s="183"/>
      <c r="H36" s="42" t="e">
        <f>VLOOKUP(A36,ПТО!$A$39:$D$53,3,FALSE)</f>
        <v>#N/A</v>
      </c>
      <c r="I36" s="179" t="e">
        <f>VLOOKUP(A36,ПТО!$A$39:$D$53,4,FALSE)</f>
        <v>#N/A</v>
      </c>
      <c r="J36" s="179"/>
      <c r="K36" s="109"/>
      <c r="L36" s="195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78" t="str">
        <f>ПТО!A48</f>
        <v>Обслуживание пожарной сигнализации</v>
      </c>
      <c r="B37" s="178"/>
      <c r="C37" s="178"/>
      <c r="D37" s="178"/>
      <c r="E37" s="178"/>
      <c r="F37" s="183">
        <f>VLOOKUP(A37,ПТО!$A$39:$D$53,2,FALSE)</f>
        <v>22782.959999999999</v>
      </c>
      <c r="G37" s="183"/>
      <c r="H37" s="42" t="str">
        <f>VLOOKUP(A37,ПТО!$A$39:$D$53,3,FALSE)</f>
        <v>Ежемесячно</v>
      </c>
      <c r="I37" s="179">
        <f>VLOOKUP(A37,ПТО!$A$39:$D$53,4,FALSE)</f>
        <v>12</v>
      </c>
      <c r="J37" s="179"/>
      <c r="K37" s="109"/>
      <c r="L37" s="195"/>
      <c r="M37" s="115"/>
      <c r="N37" s="109"/>
      <c r="O37" s="23" t="str">
        <f t="shared" si="1"/>
        <v>Обслуживание пожарной сигнализации</v>
      </c>
      <c r="R37" s="1" t="s">
        <v>71</v>
      </c>
    </row>
    <row r="38" spans="1:18" ht="51" hidden="1" customHeight="1" outlineLevel="1">
      <c r="A38" s="178">
        <f>ПТО!A49</f>
        <v>0</v>
      </c>
      <c r="B38" s="178"/>
      <c r="C38" s="178"/>
      <c r="D38" s="178"/>
      <c r="E38" s="178"/>
      <c r="F38" s="183" t="e">
        <f>VLOOKUP(A38,ПТО!$A$39:$D$53,2,FALSE)</f>
        <v>#N/A</v>
      </c>
      <c r="G38" s="183"/>
      <c r="H38" s="42" t="e">
        <f>VLOOKUP(A38,ПТО!$A$39:$D$53,3,FALSE)</f>
        <v>#N/A</v>
      </c>
      <c r="I38" s="179" t="e">
        <f>VLOOKUP(A38,ПТО!$A$39:$D$53,4,FALSE)</f>
        <v>#N/A</v>
      </c>
      <c r="J38" s="179"/>
      <c r="K38" s="109"/>
      <c r="L38" s="19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83" t="e">
        <f>VLOOKUP(A39,ПТО!$A$39:$D$53,2,FALSE)</f>
        <v>#N/A</v>
      </c>
      <c r="G39" s="183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9"/>
      <c r="L39" s="19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83" t="e">
        <f>VLOOKUP(A40,ПТО!$A$39:$D$53,2,FALSE)</f>
        <v>#N/A</v>
      </c>
      <c r="G40" s="183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9"/>
      <c r="L40" s="19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83" t="e">
        <f>VLOOKUP(A41,ПТО!$A$39:$D$53,2,FALSE)</f>
        <v>#N/A</v>
      </c>
      <c r="G41" s="183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9"/>
      <c r="L41" s="19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83" t="e">
        <f>VLOOKUP(A42,ПТО!$A$39:$D$53,2,FALSE)</f>
        <v>#N/A</v>
      </c>
      <c r="G42" s="183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9"/>
      <c r="L42" s="19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8" t="str">
        <f>ПТО!A2</f>
        <v>Техническое обслуживание системы видеонаблюдения.</v>
      </c>
      <c r="B43" s="178"/>
      <c r="C43" s="178"/>
      <c r="D43" s="178"/>
      <c r="E43" s="178"/>
      <c r="F43" s="183">
        <f>VLOOKUP(A43,ПТО!$A$2:$D$31,4,FALSE)</f>
        <v>15139.2</v>
      </c>
      <c r="G43" s="183"/>
      <c r="H43" s="19" t="str">
        <f>VLOOKUP(A43,ПТО!$A$2:$D$31,2,FALSE)</f>
        <v>ежемесячно</v>
      </c>
      <c r="I43" s="179">
        <f>VLOOKUP(A43,ПТО!$A$2:$D$31,3,FALSE)</f>
        <v>12</v>
      </c>
      <c r="J43" s="179"/>
      <c r="K43" s="109"/>
      <c r="L43" s="195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78" t="str">
        <f>ПТО!A3</f>
        <v>Техническое освидетельствование лифтов.</v>
      </c>
      <c r="B44" s="178"/>
      <c r="C44" s="178"/>
      <c r="D44" s="178"/>
      <c r="E44" s="178"/>
      <c r="F44" s="183">
        <f>VLOOKUP(A44,ПТО!$A$2:$D$31,4,FALSE)</f>
        <v>16200</v>
      </c>
      <c r="G44" s="183"/>
      <c r="H44" s="25" t="str">
        <f>VLOOKUP(A44,ПТО!$A$2:$D$31,2,FALSE)</f>
        <v>ежегодно</v>
      </c>
      <c r="I44" s="179">
        <f>VLOOKUP(A44,ПТО!$A$2:$D$31,3,FALSE)</f>
        <v>2</v>
      </c>
      <c r="J44" s="179"/>
      <c r="K44" s="109"/>
      <c r="L44" s="195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8" t="str">
        <f>ПТО!A4</f>
        <v>Приобретение и монтаж противоскользящей дорожки с металлическим креплением.</v>
      </c>
      <c r="B45" s="178"/>
      <c r="C45" s="178"/>
      <c r="D45" s="178"/>
      <c r="E45" s="178"/>
      <c r="F45" s="183">
        <f>VLOOKUP(A45,ПТО!$A$2:$D$31,4,FALSE)</f>
        <v>15500.5</v>
      </c>
      <c r="G45" s="183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9"/>
      <c r="L45" s="195"/>
      <c r="M45" s="115"/>
      <c r="N45" s="109"/>
      <c r="O45" s="23" t="str">
        <f t="shared" si="1"/>
        <v>Приобретение и монтаж противоскользящей дорожки с металлическим креплением.</v>
      </c>
      <c r="R45" s="22" t="s">
        <v>72</v>
      </c>
    </row>
    <row r="46" spans="1:18" ht="51" customHeight="1" outlineLevel="1">
      <c r="A46" s="178" t="str">
        <f>ПТО!A5</f>
        <v>Ремонт подъезда.</v>
      </c>
      <c r="B46" s="178"/>
      <c r="C46" s="178"/>
      <c r="D46" s="178"/>
      <c r="E46" s="178"/>
      <c r="F46" s="183">
        <f>VLOOKUP(A46,ПТО!$A$2:$D$31,4,FALSE)</f>
        <v>436032.4</v>
      </c>
      <c r="G46" s="183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09"/>
      <c r="L46" s="195"/>
      <c r="M46" s="115"/>
      <c r="N46" s="109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78" t="str">
        <f>ПТО!A6</f>
        <v>Приобретение и замена контейнеров для ТКО (3 шт.).</v>
      </c>
      <c r="B47" s="178"/>
      <c r="C47" s="178"/>
      <c r="D47" s="178"/>
      <c r="E47" s="178"/>
      <c r="F47" s="183">
        <f>VLOOKUP(A47,ПТО!$A$2:$D$31,4,FALSE)</f>
        <v>10101.299999999999</v>
      </c>
      <c r="G47" s="183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09"/>
      <c r="L47" s="195"/>
      <c r="M47" s="115"/>
      <c r="N47" s="109"/>
      <c r="O47" s="23" t="str">
        <f t="shared" si="1"/>
        <v>Приобретение и замена контейнеров для ТКО (3 шт.).</v>
      </c>
      <c r="R47" s="22" t="s">
        <v>72</v>
      </c>
    </row>
    <row r="48" spans="1:18" ht="51" customHeight="1" outlineLevel="1">
      <c r="A48" s="178" t="str">
        <f>ПТО!A7</f>
        <v>Испытание пожарных кранов (32 шт.).</v>
      </c>
      <c r="B48" s="178"/>
      <c r="C48" s="178"/>
      <c r="D48" s="178"/>
      <c r="E48" s="178"/>
      <c r="F48" s="183">
        <f>VLOOKUP(A48,ПТО!$A$2:$D$31,4,FALSE)</f>
        <v>8000</v>
      </c>
      <c r="G48" s="183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09"/>
      <c r="L48" s="195"/>
      <c r="M48" s="115"/>
      <c r="N48" s="109"/>
      <c r="O48" s="23" t="str">
        <f t="shared" si="1"/>
        <v>Испытание пожарных кранов (32 шт.).</v>
      </c>
      <c r="R48" s="22" t="s">
        <v>72</v>
      </c>
    </row>
    <row r="49" spans="1:18" ht="51" customHeight="1" outlineLevel="1">
      <c r="A49" s="178" t="str">
        <f>ПТО!A8</f>
        <v>Благоустройство придомовой территории (срезка и вывоз поврежденного асфальтобетона).</v>
      </c>
      <c r="B49" s="178"/>
      <c r="C49" s="178"/>
      <c r="D49" s="178"/>
      <c r="E49" s="178"/>
      <c r="F49" s="183">
        <f>VLOOKUP(A49,ПТО!$A$2:$D$31,4,FALSE)</f>
        <v>2584.4</v>
      </c>
      <c r="G49" s="183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09"/>
      <c r="L49" s="195"/>
      <c r="M49" s="115"/>
      <c r="N49" s="109"/>
      <c r="O49" s="23" t="str">
        <f t="shared" si="1"/>
        <v>Благоустройство придомовой территории (срезка и вывоз поврежденного асфальтобетона).</v>
      </c>
      <c r="R49" s="22" t="s">
        <v>72</v>
      </c>
    </row>
    <row r="50" spans="1:18" ht="51" customHeight="1" outlineLevel="1">
      <c r="A50" s="178" t="str">
        <f>ПТО!A9</f>
        <v>Замена проходных дверей в лифтовом холле (1 этаж, 1 шт.).</v>
      </c>
      <c r="B50" s="178"/>
      <c r="C50" s="178"/>
      <c r="D50" s="178"/>
      <c r="E50" s="178"/>
      <c r="F50" s="183">
        <f>VLOOKUP(A50,ПТО!$A$2:$D$31,4,FALSE)</f>
        <v>54000</v>
      </c>
      <c r="G50" s="183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09"/>
      <c r="L50" s="195"/>
      <c r="M50" s="115"/>
      <c r="N50" s="109"/>
      <c r="O50" s="23" t="str">
        <f t="shared" si="1"/>
        <v>Замена проходных дверей в лифтовом холле (1 этаж, 1 шт.).</v>
      </c>
      <c r="R50" s="22" t="s">
        <v>72</v>
      </c>
    </row>
    <row r="51" spans="1:18" ht="51" customHeight="1" outlineLevel="1">
      <c r="A51" s="178" t="str">
        <f>ПТО!A10</f>
        <v>Приобретение дополнительных светильников(10 шт.).</v>
      </c>
      <c r="B51" s="178"/>
      <c r="C51" s="178"/>
      <c r="D51" s="178"/>
      <c r="E51" s="178"/>
      <c r="F51" s="183">
        <f>VLOOKUP(A51,ПТО!$A$2:$D$31,4,FALSE)</f>
        <v>5770</v>
      </c>
      <c r="G51" s="183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09"/>
      <c r="L51" s="195"/>
      <c r="M51" s="115"/>
      <c r="N51" s="109"/>
      <c r="O51" s="23" t="str">
        <f t="shared" si="1"/>
        <v>Приобретение дополнительных светильников(10 шт.).</v>
      </c>
      <c r="R51" s="22" t="s">
        <v>72</v>
      </c>
    </row>
    <row r="52" spans="1:18" ht="51" customHeight="1" outlineLevel="1">
      <c r="A52" s="178" t="str">
        <f>ПТО!A11</f>
        <v>Приобретение и монтаж металлических листов для укрытия деформационных швов (4 шт.).</v>
      </c>
      <c r="B52" s="178"/>
      <c r="C52" s="178"/>
      <c r="D52" s="178"/>
      <c r="E52" s="178"/>
      <c r="F52" s="183">
        <f>VLOOKUP(A52,ПТО!$A$2:$D$31,4,FALSE)</f>
        <v>8390.75</v>
      </c>
      <c r="G52" s="183"/>
      <c r="H52" s="25" t="str">
        <f>VLOOKUP(A52,ПТО!$A$2:$D$31,2,FALSE)</f>
        <v>разово</v>
      </c>
      <c r="I52" s="179">
        <f>VLOOKUP(A52,ПТО!$A$2:$D$31,3,FALSE)</f>
        <v>1</v>
      </c>
      <c r="J52" s="179"/>
      <c r="K52" s="109"/>
      <c r="L52" s="195"/>
      <c r="M52" s="115"/>
      <c r="N52" s="109"/>
      <c r="O52" s="23" t="str">
        <f t="shared" si="1"/>
        <v>Приобретение и монтаж металлических листов для укрытия деформационных швов (4 шт.).</v>
      </c>
      <c r="R52" s="22" t="s">
        <v>72</v>
      </c>
    </row>
    <row r="53" spans="1:18" ht="51" customHeight="1" outlineLevel="1">
      <c r="A53" s="178" t="str">
        <f>ПТО!A12</f>
        <v>Покупка и замена дверного доводчика (1 шт. лестничный марш).</v>
      </c>
      <c r="B53" s="178"/>
      <c r="C53" s="178"/>
      <c r="D53" s="178"/>
      <c r="E53" s="178"/>
      <c r="F53" s="183">
        <f>VLOOKUP(A53,ПТО!$A$2:$D$31,4,FALSE)</f>
        <v>2674.8</v>
      </c>
      <c r="G53" s="183"/>
      <c r="H53" s="25" t="str">
        <f>VLOOKUP(A53,ПТО!$A$2:$D$31,2,FALSE)</f>
        <v>разово</v>
      </c>
      <c r="I53" s="179">
        <f>VLOOKUP(A53,ПТО!$A$2:$D$31,3,FALSE)</f>
        <v>1</v>
      </c>
      <c r="J53" s="179"/>
      <c r="K53" s="109"/>
      <c r="L53" s="195"/>
      <c r="M53" s="115"/>
      <c r="N53" s="109"/>
      <c r="O53" s="23" t="str">
        <f t="shared" si="1"/>
        <v>Покупка и замена дверного доводчика (1 шт. лестничный марш).</v>
      </c>
      <c r="R53" s="22" t="s">
        <v>72</v>
      </c>
    </row>
    <row r="54" spans="1:18" ht="51" customHeight="1" outlineLevel="1">
      <c r="A54" s="178" t="str">
        <f>ПТО!A13</f>
        <v>Приобретение и замена общедомового прибора учета холодного водоснабжения.</v>
      </c>
      <c r="B54" s="178"/>
      <c r="C54" s="178"/>
      <c r="D54" s="178"/>
      <c r="E54" s="178"/>
      <c r="F54" s="183">
        <f>VLOOKUP(A54,ПТО!$A$2:$D$31,4,FALSE)</f>
        <v>5987.9</v>
      </c>
      <c r="G54" s="183"/>
      <c r="H54" s="25" t="str">
        <f>VLOOKUP(A54,ПТО!$A$2:$D$31,2,FALSE)</f>
        <v>разово</v>
      </c>
      <c r="I54" s="179">
        <f>VLOOKUP(A54,ПТО!$A$2:$D$31,3,FALSE)</f>
        <v>1</v>
      </c>
      <c r="J54" s="179"/>
      <c r="K54" s="109"/>
      <c r="L54" s="195"/>
      <c r="M54" s="115"/>
      <c r="N54" s="109"/>
      <c r="O54" s="23" t="str">
        <f t="shared" si="1"/>
        <v>Приобретение и замена общедомового прибора учета холодного водоснабжения.</v>
      </c>
      <c r="R54" s="22" t="s">
        <v>72</v>
      </c>
    </row>
    <row r="55" spans="1:18" ht="51" customHeight="1" outlineLevel="1">
      <c r="A55" s="178" t="str">
        <f>ПТО!A14</f>
        <v>Приобретение и монтаж противоскользящей ленты.</v>
      </c>
      <c r="B55" s="178"/>
      <c r="C55" s="178"/>
      <c r="D55" s="178"/>
      <c r="E55" s="178"/>
      <c r="F55" s="183">
        <f>VLOOKUP(A55,ПТО!$A$2:$D$31,4,FALSE)</f>
        <v>6000</v>
      </c>
      <c r="G55" s="183"/>
      <c r="H55" s="25" t="str">
        <f>VLOOKUP(A55,ПТО!$A$2:$D$31,2,FALSE)</f>
        <v>разово</v>
      </c>
      <c r="I55" s="179">
        <f>VLOOKUP(A55,ПТО!$A$2:$D$31,3,FALSE)</f>
        <v>1</v>
      </c>
      <c r="J55" s="179"/>
      <c r="K55" s="109"/>
      <c r="L55" s="195"/>
      <c r="M55" s="115"/>
      <c r="N55" s="109"/>
      <c r="O55" s="23" t="str">
        <f t="shared" si="1"/>
        <v>Приобретение и монтаж противоскользящей ленты.</v>
      </c>
      <c r="R55" s="22" t="s">
        <v>72</v>
      </c>
    </row>
    <row r="56" spans="1:18" ht="51" customHeight="1" outlineLevel="1">
      <c r="A56" s="178" t="str">
        <f>ПТО!A15</f>
        <v>Приобретение светодиодных светильников в резерв (10 шт.).</v>
      </c>
      <c r="B56" s="178"/>
      <c r="C56" s="178"/>
      <c r="D56" s="178"/>
      <c r="E56" s="178"/>
      <c r="F56" s="183">
        <f>VLOOKUP(A56,ПТО!$A$2:$D$31,4,FALSE)</f>
        <v>3800</v>
      </c>
      <c r="G56" s="183"/>
      <c r="H56" s="25" t="str">
        <f>VLOOKUP(A56,ПТО!$A$2:$D$31,2,FALSE)</f>
        <v>разово</v>
      </c>
      <c r="I56" s="179">
        <f>VLOOKUP(A56,ПТО!$A$2:$D$31,3,FALSE)</f>
        <v>1</v>
      </c>
      <c r="J56" s="179"/>
      <c r="K56" s="109"/>
      <c r="L56" s="195"/>
      <c r="M56" s="115"/>
      <c r="N56" s="109"/>
      <c r="O56" s="23" t="str">
        <f t="shared" si="1"/>
        <v>Приобретение светодиодных светильников в резерв (10 шт.).</v>
      </c>
      <c r="R56" s="22" t="s">
        <v>72</v>
      </c>
    </row>
    <row r="57" spans="1:18" ht="51" hidden="1" customHeight="1" outlineLevel="1">
      <c r="A57" s="178">
        <f>ПТО!A16</f>
        <v>0</v>
      </c>
      <c r="B57" s="178"/>
      <c r="C57" s="178"/>
      <c r="D57" s="178"/>
      <c r="E57" s="178"/>
      <c r="F57" s="183" t="e">
        <f>VLOOKUP(A57,ПТО!$A$2:$D$31,4,FALSE)</f>
        <v>#N/A</v>
      </c>
      <c r="G57" s="183"/>
      <c r="H57" s="25" t="e">
        <f>VLOOKUP(A57,ПТО!$A$2:$D$31,2,FALSE)</f>
        <v>#N/A</v>
      </c>
      <c r="I57" s="179" t="e">
        <f>VLOOKUP(A57,ПТО!$A$2:$D$31,3,FALSE)</f>
        <v>#N/A</v>
      </c>
      <c r="J57" s="179"/>
      <c r="K57" s="109"/>
      <c r="L57" s="19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8">
        <f>ПТО!A17</f>
        <v>0</v>
      </c>
      <c r="B58" s="178"/>
      <c r="C58" s="178"/>
      <c r="D58" s="178"/>
      <c r="E58" s="178"/>
      <c r="F58" s="183" t="e">
        <f>VLOOKUP(A58,ПТО!$A$2:$D$31,4,FALSE)</f>
        <v>#N/A</v>
      </c>
      <c r="G58" s="183"/>
      <c r="H58" s="25" t="e">
        <f>VLOOKUP(A58,ПТО!$A$2:$D$31,2,FALSE)</f>
        <v>#N/A</v>
      </c>
      <c r="I58" s="179" t="e">
        <f>VLOOKUP(A58,ПТО!$A$2:$D$31,3,FALSE)</f>
        <v>#N/A</v>
      </c>
      <c r="J58" s="179"/>
      <c r="K58" s="109"/>
      <c r="L58" s="19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8">
        <f>ПТО!A18</f>
        <v>0</v>
      </c>
      <c r="B59" s="178"/>
      <c r="C59" s="178"/>
      <c r="D59" s="178"/>
      <c r="E59" s="178"/>
      <c r="F59" s="183" t="e">
        <f>VLOOKUP(A59,ПТО!$A$2:$D$31,4,FALSE)</f>
        <v>#N/A</v>
      </c>
      <c r="G59" s="183"/>
      <c r="H59" s="25" t="e">
        <f>VLOOKUP(A59,ПТО!$A$2:$D$31,2,FALSE)</f>
        <v>#N/A</v>
      </c>
      <c r="I59" s="179" t="e">
        <f>VLOOKUP(A59,ПТО!$A$2:$D$31,3,FALSE)</f>
        <v>#N/A</v>
      </c>
      <c r="J59" s="179"/>
      <c r="K59" s="109"/>
      <c r="L59" s="19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8">
        <f>ПТО!A19</f>
        <v>0</v>
      </c>
      <c r="B60" s="178"/>
      <c r="C60" s="178"/>
      <c r="D60" s="178"/>
      <c r="E60" s="178"/>
      <c r="F60" s="183" t="e">
        <f>VLOOKUP(A60,ПТО!$A$2:$D$31,4,FALSE)</f>
        <v>#N/A</v>
      </c>
      <c r="G60" s="183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09"/>
      <c r="L60" s="19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8">
        <f>ПТО!A20</f>
        <v>0</v>
      </c>
      <c r="B61" s="178"/>
      <c r="C61" s="178"/>
      <c r="D61" s="178"/>
      <c r="E61" s="178"/>
      <c r="F61" s="183" t="e">
        <f>VLOOKUP(A61,ПТО!$A$2:$D$31,4,FALSE)</f>
        <v>#N/A</v>
      </c>
      <c r="G61" s="183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9"/>
      <c r="L61" s="19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83" t="e">
        <f>VLOOKUP(A62,ПТО!$A$2:$D$31,4,FALSE)</f>
        <v>#N/A</v>
      </c>
      <c r="G62" s="183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9"/>
      <c r="L62" s="19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83" t="e">
        <f>VLOOKUP(A63,ПТО!$A$2:$D$31,4,FALSE)</f>
        <v>#N/A</v>
      </c>
      <c r="G63" s="183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9"/>
      <c r="L63" s="19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83" t="e">
        <f>VLOOKUP(A64,ПТО!$A$2:$D$31,4,FALSE)</f>
        <v>#N/A</v>
      </c>
      <c r="G64" s="183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9"/>
      <c r="L64" s="19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83" t="e">
        <f>VLOOKUP(A65,ПТО!$A$2:$D$31,4,FALSE)</f>
        <v>#N/A</v>
      </c>
      <c r="G65" s="183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9"/>
      <c r="L65" s="19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83" t="e">
        <f>VLOOKUP(A66,ПТО!$A$2:$D$31,4,FALSE)</f>
        <v>#N/A</v>
      </c>
      <c r="G66" s="183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9"/>
      <c r="L66" s="19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83" t="e">
        <f>VLOOKUP(A67,ПТО!$A$2:$D$31,4,FALSE)</f>
        <v>#N/A</v>
      </c>
      <c r="G67" s="183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9"/>
      <c r="L67" s="19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83" t="e">
        <f>VLOOKUP(A68,ПТО!$A$2:$D$31,4,FALSE)</f>
        <v>#N/A</v>
      </c>
      <c r="G68" s="183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9"/>
      <c r="L68" s="19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83" t="e">
        <f>VLOOKUP(A69,ПТО!$A$2:$D$31,4,FALSE)</f>
        <v>#N/A</v>
      </c>
      <c r="G69" s="183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9"/>
      <c r="L69" s="19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83" t="e">
        <f>VLOOKUP(A70,ПТО!$A$2:$D$31,4,FALSE)</f>
        <v>#N/A</v>
      </c>
      <c r="G70" s="183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9"/>
      <c r="L70" s="19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83" t="e">
        <f>VLOOKUP(A71,ПТО!$A$2:$D$31,4,FALSE)</f>
        <v>#N/A</v>
      </c>
      <c r="G71" s="183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19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83" t="e">
        <f>VLOOKUP(A72,ПТО!$A$2:$D$31,4,FALSE)</f>
        <v>#N/A</v>
      </c>
      <c r="G72" s="183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9"/>
      <c r="L72" s="19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6" t="s">
        <v>27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9"/>
      <c r="L75" s="198"/>
      <c r="M75" s="109"/>
      <c r="N75" s="109"/>
      <c r="O75" s="70" t="s">
        <v>99</v>
      </c>
    </row>
    <row r="76" spans="1:16384" ht="18.75" customHeight="1" outlineLevel="1">
      <c r="A76" s="196" t="s">
        <v>28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9"/>
      <c r="L76" s="198"/>
      <c r="M76" s="109"/>
      <c r="N76" s="109"/>
      <c r="O76" s="70" t="s">
        <v>100</v>
      </c>
    </row>
    <row r="77" spans="1:16384" ht="21.75" customHeight="1" outlineLevel="1">
      <c r="A77" s="196" t="s">
        <v>29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9"/>
      <c r="L77" s="198"/>
      <c r="M77" s="109"/>
      <c r="N77" s="109"/>
      <c r="O77" s="70" t="s">
        <v>101</v>
      </c>
    </row>
    <row r="78" spans="1:16384" ht="18.75" customHeight="1" outlineLevel="1">
      <c r="A78" s="196" t="s">
        <v>30</v>
      </c>
      <c r="B78" s="196"/>
      <c r="C78" s="196"/>
      <c r="D78" s="196"/>
      <c r="E78" s="196"/>
      <c r="F78" s="196"/>
      <c r="G78" s="196"/>
      <c r="H78" s="196"/>
      <c r="I78" s="196"/>
      <c r="J78" s="97">
        <f>VLOOKUP(O78,АО,3,FALSE)</f>
        <v>0</v>
      </c>
      <c r="K78" s="109"/>
      <c r="L78" s="198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6" t="s">
        <v>2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103</v>
      </c>
    </row>
    <row r="82" spans="1:15" outlineLevel="1">
      <c r="A82" s="176" t="s">
        <v>3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84"/>
      <c r="M82" s="109"/>
      <c r="N82" s="109"/>
      <c r="O82" s="70" t="s">
        <v>104</v>
      </c>
    </row>
    <row r="83" spans="1:15" outlineLevel="1">
      <c r="A83" s="190" t="s">
        <v>4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15693.71</v>
      </c>
      <c r="K83" s="109"/>
      <c r="L83" s="184"/>
      <c r="M83" s="109"/>
      <c r="N83" s="109"/>
      <c r="O83" s="70" t="s">
        <v>105</v>
      </c>
    </row>
    <row r="84" spans="1:15" outlineLevel="1">
      <c r="A84" s="190" t="s">
        <v>16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184"/>
      <c r="M84" s="109"/>
      <c r="N84" s="109"/>
      <c r="O84" s="70" t="s">
        <v>106</v>
      </c>
    </row>
    <row r="85" spans="1:15" outlineLevel="1">
      <c r="A85" s="190" t="s">
        <v>17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184"/>
      <c r="M85" s="109"/>
      <c r="N85" s="109"/>
      <c r="O85" s="70" t="s">
        <v>107</v>
      </c>
    </row>
    <row r="86" spans="1:15" outlineLevel="1">
      <c r="A86" s="190" t="s">
        <v>18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62437.07</v>
      </c>
      <c r="K86" s="109"/>
      <c r="L86" s="184"/>
      <c r="M86" s="109"/>
      <c r="N86" s="109"/>
      <c r="O86" s="70" t="s">
        <v>108</v>
      </c>
    </row>
    <row r="87" spans="1:15" ht="18.75" customHeight="1" outlineLevel="1">
      <c r="A87" s="190" t="s">
        <v>27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184"/>
      <c r="M87" s="109"/>
      <c r="N87" s="109"/>
      <c r="O87" s="70" t="s">
        <v>109</v>
      </c>
    </row>
    <row r="88" spans="1:15" ht="18.75" customHeight="1" outlineLevel="1">
      <c r="A88" s="190" t="s">
        <v>28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184"/>
      <c r="M88" s="109"/>
      <c r="N88" s="109"/>
      <c r="O88" s="70" t="s">
        <v>110</v>
      </c>
    </row>
    <row r="89" spans="1:15" ht="18.75" customHeight="1" outlineLevel="1">
      <c r="A89" s="190" t="s">
        <v>29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184"/>
      <c r="M89" s="109"/>
      <c r="N89" s="109"/>
      <c r="O89" s="70" t="s">
        <v>111</v>
      </c>
    </row>
    <row r="90" spans="1:15" ht="18.75" customHeight="1" outlineLevel="1">
      <c r="A90" s="190" t="s">
        <v>30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18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9" t="s">
        <v>48</v>
      </c>
      <c r="B93" s="199"/>
      <c r="C93" s="199"/>
      <c r="D93" s="200" t="s">
        <v>49</v>
      </c>
      <c r="E93" s="200"/>
      <c r="F93" s="10" t="s">
        <v>50</v>
      </c>
      <c r="G93" s="199" t="s">
        <v>51</v>
      </c>
      <c r="H93" s="199"/>
      <c r="I93" s="199"/>
      <c r="J93" s="199"/>
      <c r="K93" s="109"/>
      <c r="L93" s="109"/>
      <c r="M93" s="109"/>
      <c r="N93" s="109"/>
    </row>
    <row r="94" spans="1:15" hidden="1" outlineLevel="1">
      <c r="A94" s="180">
        <f>IF(VLOOKUP("эл",АО,3,FALSE)&gt;0,"Электроснабжение",0)</f>
        <v>0</v>
      </c>
      <c r="B94" s="180"/>
      <c r="C94" s="180"/>
      <c r="D94" s="181">
        <f>IF(VLOOKUP("эл",АО,3,FALSE)&gt;0,VLOOKUP("эл",АО,3,FALSE),0)</f>
        <v>0</v>
      </c>
      <c r="E94" s="181"/>
      <c r="F94" s="13">
        <f>IF(VLOOKUP("эл",АО,3,FALSE)&gt;0,VLOOKUP("эл",АО,4,FALSE),0)</f>
        <v>0</v>
      </c>
      <c r="G94" s="182">
        <f>VLOOKUP("эл",АО,5,FALSE)</f>
        <v>0</v>
      </c>
      <c r="H94" s="181"/>
      <c r="I94" s="181"/>
      <c r="J94" s="181"/>
      <c r="K94" s="1" t="str">
        <f>VLOOKUP("эл",АО,2,FALSE)</f>
        <v>Электроснабжение</v>
      </c>
      <c r="L94" s="185"/>
    </row>
    <row r="95" spans="1:15" hidden="1" outlineLevel="2">
      <c r="A95" s="197">
        <f>IF(VLOOKUP("эл",АО,3,FALSE)&gt;0,VLOOKUP("эл1",АО,2,FALSE),0)</f>
        <v>0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0</v>
      </c>
      <c r="L95" s="185"/>
      <c r="O95" s="1" t="s">
        <v>113</v>
      </c>
    </row>
    <row r="96" spans="1:15" hidden="1" outlineLevel="2">
      <c r="A96" s="197">
        <f>IF(VLOOKUP("эл",АО,3,FALSE)&gt;0,VLOOKUP("эл2",АО,2,FALSE),0)</f>
        <v>0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0</v>
      </c>
      <c r="L96" s="185"/>
      <c r="O96" s="1" t="s">
        <v>114</v>
      </c>
    </row>
    <row r="97" spans="1:15" hidden="1" outlineLevel="2">
      <c r="A97" s="197">
        <f>IF(VLOOKUP("эл",АО,3,FALSE)&gt;0,VLOOKUP("эл3",АО,2,FALSE),0)</f>
        <v>0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0</v>
      </c>
      <c r="L97" s="185"/>
      <c r="O97" s="1" t="s">
        <v>115</v>
      </c>
    </row>
    <row r="98" spans="1:15" ht="37.5" hidden="1" customHeight="1" outlineLevel="2">
      <c r="A98" s="197">
        <f>IF(VLOOKUP("эл",АО,3,FALSE)&gt;0,VLOOKUP("эл4",АО,2,FALSE),0)</f>
        <v>0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0</v>
      </c>
      <c r="L98" s="185"/>
      <c r="O98" s="1" t="s">
        <v>116</v>
      </c>
    </row>
    <row r="99" spans="1:15" hidden="1" outlineLevel="2">
      <c r="A99" s="197">
        <f>IF(VLOOKUP("эл",АО,3,FALSE)&gt;0,VLOOKUP("эл5",АО,2,FALSE),0)</f>
        <v>0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0</v>
      </c>
      <c r="L99" s="185"/>
      <c r="O99" s="1" t="s">
        <v>117</v>
      </c>
    </row>
    <row r="100" spans="1:15" ht="39" hidden="1" customHeight="1" outlineLevel="2">
      <c r="A100" s="197">
        <f>IF(VLOOKUP("эл",АО,3,FALSE)&gt;0,VLOOKUP("эл6",АО,2,FALSE),0)</f>
        <v>0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185"/>
      <c r="O100" s="1" t="s">
        <v>118</v>
      </c>
    </row>
    <row r="101" spans="1:15" ht="34.5" hidden="1" customHeight="1" outlineLevel="2">
      <c r="A101" s="197">
        <f>IF(VLOOKUP("эл",АО,3,FALSE)&gt;0,VLOOKUP("эл7",АО,2,FALSE),0)</f>
        <v>0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185"/>
      <c r="O101" s="1" t="s">
        <v>119</v>
      </c>
    </row>
    <row r="102" spans="1:15" ht="28.5" customHeight="1" outlineLevel="1">
      <c r="A102" s="180" t="str">
        <f>IF(VLOOKUP("хвс",АО,3,FALSE)&gt;0,"Холодное водоснабжение",0)</f>
        <v>Холодное водоснабжение</v>
      </c>
      <c r="B102" s="180"/>
      <c r="C102" s="180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2">
        <f>VLOOKUP("хвс",АО,5,FALSE)</f>
        <v>201378.6099999999</v>
      </c>
      <c r="H102" s="181"/>
      <c r="I102" s="181"/>
      <c r="J102" s="181"/>
      <c r="L102" s="185"/>
    </row>
    <row r="103" spans="1:15" outlineLevel="2">
      <c r="A103" s="197" t="str">
        <f t="shared" ref="A103:A109" si="4">IF(VLOOKUP("хвс",АО,3,FALSE)&gt;0,VLOOKUP(O103,АО,2,FALSE),0)</f>
        <v>Общий объем потребления, нат. показ.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14709.242819465253</v>
      </c>
      <c r="L103" s="185"/>
      <c r="O103" s="1" t="s">
        <v>122</v>
      </c>
    </row>
    <row r="104" spans="1:15" ht="18.75" customHeight="1" outlineLevel="2">
      <c r="A104" s="197" t="str">
        <f t="shared" si="4"/>
        <v>Оплачено потребителями, руб.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186456.8900000001</v>
      </c>
      <c r="L104" s="185"/>
      <c r="O104" s="1" t="s">
        <v>123</v>
      </c>
    </row>
    <row r="105" spans="1:15" ht="18.75" customHeight="1" outlineLevel="2">
      <c r="A105" s="197" t="str">
        <f t="shared" si="4"/>
        <v>Задолженность потребителей, руб.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14921.719999999797</v>
      </c>
      <c r="L105" s="185"/>
      <c r="O105" s="1" t="s">
        <v>124</v>
      </c>
    </row>
    <row r="106" spans="1:15" ht="36.75" customHeight="1" outlineLevel="2">
      <c r="A106" s="197" t="str">
        <f t="shared" si="4"/>
        <v>Начислено поставщиком (поставщиками) коммунального ресурса, руб.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201378.6099999999</v>
      </c>
      <c r="L106" s="185"/>
      <c r="O106" s="1" t="s">
        <v>125</v>
      </c>
    </row>
    <row r="107" spans="1:15" ht="18.75" customHeight="1" outlineLevel="2">
      <c r="A107" s="197" t="str">
        <f t="shared" si="4"/>
        <v>Оплачено поставщику (поставщикам) коммунального ресурса, руб.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201378.6099999999</v>
      </c>
      <c r="L107" s="185"/>
      <c r="O107" s="1" t="s">
        <v>126</v>
      </c>
    </row>
    <row r="108" spans="1:15" ht="37.5" customHeight="1" outlineLevel="2">
      <c r="A108" s="197" t="str">
        <f t="shared" si="4"/>
        <v>Задолженность перед поставщиком (поставщиками) коммунального ресурса, руб.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185"/>
      <c r="O108" s="1" t="s">
        <v>127</v>
      </c>
    </row>
    <row r="109" spans="1:15" ht="39.75" customHeight="1" outlineLevel="2">
      <c r="A109" s="197" t="str">
        <f t="shared" si="4"/>
        <v>Размер пени и штрафов, уплаченных поставщику (поставщикам) коммунального ресурса, руб.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185"/>
      <c r="O109" s="1" t="s">
        <v>128</v>
      </c>
    </row>
    <row r="110" spans="1:15" ht="27" customHeight="1" outlineLevel="1">
      <c r="A110" s="180" t="str">
        <f>IF(VLOOKUP("воо",АО,3,FALSE)&gt;0,"Водоотведение",0)</f>
        <v>Водоотведение</v>
      </c>
      <c r="B110" s="180"/>
      <c r="C110" s="180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2">
        <f>VLOOKUP("воо",АО,5,FALSE)</f>
        <v>394416.35</v>
      </c>
      <c r="H110" s="181"/>
      <c r="I110" s="181"/>
      <c r="J110" s="181"/>
      <c r="L110" s="185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23696.362669481205</v>
      </c>
      <c r="L111" s="185"/>
      <c r="O111" s="1" t="s">
        <v>130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362594.71000000008</v>
      </c>
      <c r="L112" s="185"/>
      <c r="O112" s="1" t="s">
        <v>131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31821.639999999898</v>
      </c>
      <c r="L113" s="185"/>
      <c r="O113" s="1" t="s">
        <v>132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394416.35</v>
      </c>
      <c r="L114" s="185"/>
      <c r="O114" s="1" t="s">
        <v>133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394416.35</v>
      </c>
      <c r="L115" s="185"/>
      <c r="O115" s="1" t="s">
        <v>134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85"/>
      <c r="O116" s="1" t="s">
        <v>135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85"/>
      <c r="O117" s="1" t="s">
        <v>136</v>
      </c>
    </row>
    <row r="118" spans="1:15" ht="32.25" hidden="1" customHeight="1" outlineLevel="1">
      <c r="A118" s="180">
        <f>IF(VLOOKUP("тко",АО,3,FALSE)&gt;0,"Обращение с ТКО",0)</f>
        <v>0</v>
      </c>
      <c r="B118" s="180"/>
      <c r="C118" s="180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2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2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6" t="s">
        <v>45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170</v>
      </c>
    </row>
    <row r="145" spans="1:15" ht="18.75" customHeight="1" outlineLevel="1">
      <c r="A145" s="176" t="s">
        <v>46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13</v>
      </c>
      <c r="L145" s="15"/>
      <c r="O145" t="s">
        <v>171</v>
      </c>
    </row>
    <row r="146" spans="1:15" ht="30" customHeight="1" outlineLevel="1">
      <c r="A146" s="176" t="s">
        <v>173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172</v>
      </c>
    </row>
    <row r="149" spans="1:15" ht="52.5" customHeight="1">
      <c r="A149" s="201" t="s">
        <v>186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203" t="s">
        <v>200</v>
      </c>
      <c r="B154" s="203"/>
      <c r="C154" s="203"/>
      <c r="D154" s="203"/>
      <c r="E154" s="27">
        <f>ПТО!G1</f>
        <v>-755651.57</v>
      </c>
    </row>
    <row r="155" spans="1:15" ht="34.5" customHeight="1">
      <c r="A155" s="202" t="s">
        <v>199</v>
      </c>
      <c r="B155" s="202"/>
      <c r="C155" s="202"/>
      <c r="D155" s="202"/>
      <c r="E155" s="28">
        <f>J13</f>
        <v>455622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19</v>
      </c>
      <c r="B157" s="186"/>
      <c r="C157" s="186"/>
      <c r="D157" s="186"/>
      <c r="E157" s="186"/>
      <c r="F157" s="186" t="s">
        <v>20</v>
      </c>
      <c r="G157" s="186"/>
      <c r="H157" s="20" t="s">
        <v>57</v>
      </c>
      <c r="I157" s="186" t="s">
        <v>21</v>
      </c>
      <c r="J157" s="186"/>
    </row>
    <row r="158" spans="1:15" ht="29.25" customHeight="1">
      <c r="A158" s="178" t="str">
        <f t="shared" ref="A158:A163" si="14">IF(N158&gt;0,N158,0)</f>
        <v>Техническое обслуживание системы видеонаблюдения.</v>
      </c>
      <c r="B158" s="178"/>
      <c r="C158" s="178"/>
      <c r="D158" s="178"/>
      <c r="E158" s="178"/>
      <c r="F158" s="183">
        <f t="shared" ref="F158:F163" si="15">IF(ISERROR(VLOOKUP(A158,$A$28:$J$72,6,FALSE)),0,VLOOKUP(A158,$A$28:$J$72,6,FALSE))</f>
        <v>15139.2</v>
      </c>
      <c r="G158" s="183"/>
      <c r="H158" s="24" t="str">
        <f t="shared" ref="H158:H187" si="16">VLOOKUP(A158,$A$28:$J$72,8,FALSE)</f>
        <v>ежемесячно</v>
      </c>
      <c r="I158" s="179">
        <f t="shared" ref="I158:I161" si="17">VLOOKUP(A158,$A$28:$J$72,9,FALSE)</f>
        <v>12</v>
      </c>
      <c r="J158" s="179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8" t="str">
        <f t="shared" si="14"/>
        <v>Техническое освидетельствование лифтов.</v>
      </c>
      <c r="B159" s="178"/>
      <c r="C159" s="178"/>
      <c r="D159" s="178"/>
      <c r="E159" s="178"/>
      <c r="F159" s="183">
        <f t="shared" si="15"/>
        <v>16200</v>
      </c>
      <c r="G159" s="183"/>
      <c r="H159" s="24" t="str">
        <f t="shared" si="16"/>
        <v>ежегодно</v>
      </c>
      <c r="I159" s="179">
        <f t="shared" si="17"/>
        <v>2</v>
      </c>
      <c r="J159" s="179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8" t="str">
        <f t="shared" si="14"/>
        <v>Приобретение и монтаж противоскользящей дорожки с металлическим креплением.</v>
      </c>
      <c r="B160" s="178"/>
      <c r="C160" s="178"/>
      <c r="D160" s="178"/>
      <c r="E160" s="178"/>
      <c r="F160" s="183">
        <f t="shared" si="15"/>
        <v>15500.5</v>
      </c>
      <c r="G160" s="183"/>
      <c r="H160" s="24" t="str">
        <f t="shared" si="16"/>
        <v>разово</v>
      </c>
      <c r="I160" s="179">
        <f t="shared" si="17"/>
        <v>1</v>
      </c>
      <c r="J160" s="179"/>
      <c r="M160" s="22" t="s">
        <v>72</v>
      </c>
      <c r="N160" s="1" t="str">
        <v>Приобретение и монтаж противоскользящей дорожки с металлическим креплением.</v>
      </c>
    </row>
    <row r="161" spans="1:14" ht="28.5" customHeight="1">
      <c r="A161" s="178" t="str">
        <f>IF(N161&gt;0,N161,0)</f>
        <v>Ремонт подъезда.</v>
      </c>
      <c r="B161" s="178"/>
      <c r="C161" s="178"/>
      <c r="D161" s="178"/>
      <c r="E161" s="178"/>
      <c r="F161" s="183">
        <f t="shared" si="15"/>
        <v>436032.4</v>
      </c>
      <c r="G161" s="183"/>
      <c r="H161" s="24" t="str">
        <f t="shared" si="16"/>
        <v>разово</v>
      </c>
      <c r="I161" s="179">
        <f t="shared" si="17"/>
        <v>1</v>
      </c>
      <c r="J161" s="179"/>
      <c r="M161" s="22" t="s">
        <v>72</v>
      </c>
      <c r="N161" s="1" t="str">
        <v>Ремонт подъезда.</v>
      </c>
    </row>
    <row r="162" spans="1:14" ht="28.5" customHeight="1">
      <c r="A162" s="178" t="str">
        <f t="shared" si="14"/>
        <v>Приобретение и замена контейнеров для ТКО (3 шт.).</v>
      </c>
      <c r="B162" s="178"/>
      <c r="C162" s="178"/>
      <c r="D162" s="178"/>
      <c r="E162" s="178"/>
      <c r="F162" s="183">
        <f t="shared" si="15"/>
        <v>10101.299999999999</v>
      </c>
      <c r="G162" s="183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72</v>
      </c>
      <c r="N162" s="1" t="str">
        <v>Приобретение и замена контейнеров для ТКО (3 шт.).</v>
      </c>
    </row>
    <row r="163" spans="1:14" ht="28.5" customHeight="1">
      <c r="A163" s="178" t="str">
        <f t="shared" si="14"/>
        <v>Испытание пожарных кранов (32 шт.).</v>
      </c>
      <c r="B163" s="178"/>
      <c r="C163" s="178"/>
      <c r="D163" s="178"/>
      <c r="E163" s="178"/>
      <c r="F163" s="183">
        <f t="shared" si="15"/>
        <v>8000</v>
      </c>
      <c r="G163" s="183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72</v>
      </c>
      <c r="N163" s="1" t="str">
        <v>Испытание пожарных кранов (32 шт.).</v>
      </c>
    </row>
    <row r="164" spans="1:14" ht="28.5" customHeight="1">
      <c r="A164" s="178" t="str">
        <f t="shared" ref="A164:A187" si="18">IF(N164&gt;0,N164,0)</f>
        <v>Благоустройство придомовой территории (срезка и вывоз поврежденного асфальтобетона).</v>
      </c>
      <c r="B164" s="178"/>
      <c r="C164" s="178"/>
      <c r="D164" s="178"/>
      <c r="E164" s="178"/>
      <c r="F164" s="183">
        <f t="shared" ref="F164:F187" si="19">IF(ISERROR(VLOOKUP(A164,$A$28:$J$72,6,FALSE)),0,VLOOKUP(A164,$A$28:$J$72,6,FALSE))</f>
        <v>2584.4</v>
      </c>
      <c r="G164" s="183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72</v>
      </c>
      <c r="N164" s="1" t="str">
        <v>Благоустройство придомовой территории (срезка и вывоз поврежденного асфальтобетона).</v>
      </c>
    </row>
    <row r="165" spans="1:14" ht="42.75" customHeight="1">
      <c r="A165" s="178" t="str">
        <f t="shared" si="18"/>
        <v>Замена проходных дверей в лифтовом холле (1 этаж, 1 шт.).</v>
      </c>
      <c r="B165" s="178"/>
      <c r="C165" s="178"/>
      <c r="D165" s="178"/>
      <c r="E165" s="178"/>
      <c r="F165" s="183">
        <f t="shared" si="19"/>
        <v>54000</v>
      </c>
      <c r="G165" s="183"/>
      <c r="H165" s="29" t="str">
        <f t="shared" si="16"/>
        <v>разово</v>
      </c>
      <c r="I165" s="179">
        <f t="shared" si="20"/>
        <v>1</v>
      </c>
      <c r="J165" s="179"/>
      <c r="M165" s="22" t="s">
        <v>72</v>
      </c>
      <c r="N165" s="1" t="str">
        <v>Замена проходных дверей в лифтовом холле (1 этаж, 1 шт.).</v>
      </c>
    </row>
    <row r="166" spans="1:14" ht="28.5" customHeight="1">
      <c r="A166" s="178" t="str">
        <f t="shared" si="18"/>
        <v>Приобретение дополнительных светильников(10 шт.).</v>
      </c>
      <c r="B166" s="178"/>
      <c r="C166" s="178"/>
      <c r="D166" s="178"/>
      <c r="E166" s="178"/>
      <c r="F166" s="183">
        <f t="shared" si="19"/>
        <v>5770</v>
      </c>
      <c r="G166" s="183"/>
      <c r="H166" s="29" t="str">
        <f t="shared" si="16"/>
        <v>разово</v>
      </c>
      <c r="I166" s="179">
        <f t="shared" si="20"/>
        <v>1</v>
      </c>
      <c r="J166" s="179"/>
      <c r="M166" s="22" t="s">
        <v>72</v>
      </c>
      <c r="N166" s="1" t="str">
        <v>Приобретение дополнительных светильников(10 шт.).</v>
      </c>
    </row>
    <row r="167" spans="1:14" ht="28.5" customHeight="1">
      <c r="A167" s="178" t="str">
        <f t="shared" si="18"/>
        <v>Приобретение и монтаж металлических листов для укрытия деформационных швов (4 шт.).</v>
      </c>
      <c r="B167" s="178"/>
      <c r="C167" s="178"/>
      <c r="D167" s="178"/>
      <c r="E167" s="178"/>
      <c r="F167" s="183">
        <f t="shared" si="19"/>
        <v>8390.75</v>
      </c>
      <c r="G167" s="183"/>
      <c r="H167" s="29" t="str">
        <f t="shared" si="16"/>
        <v>разово</v>
      </c>
      <c r="I167" s="179">
        <f t="shared" si="20"/>
        <v>1</v>
      </c>
      <c r="J167" s="179"/>
      <c r="M167" s="22" t="s">
        <v>72</v>
      </c>
      <c r="N167" s="1" t="str">
        <v>Приобретение и монтаж металлических листов для укрытия деформационных швов (4 шт.).</v>
      </c>
    </row>
    <row r="168" spans="1:14" ht="28.5" customHeight="1">
      <c r="A168" s="178" t="str">
        <f t="shared" si="18"/>
        <v>Покупка и замена дверного доводчика (1 шт. лестничный марш).</v>
      </c>
      <c r="B168" s="178"/>
      <c r="C168" s="178"/>
      <c r="D168" s="178"/>
      <c r="E168" s="178"/>
      <c r="F168" s="183">
        <f t="shared" si="19"/>
        <v>2674.8</v>
      </c>
      <c r="G168" s="183"/>
      <c r="H168" s="29" t="str">
        <f t="shared" si="16"/>
        <v>разово</v>
      </c>
      <c r="I168" s="179">
        <f t="shared" si="20"/>
        <v>1</v>
      </c>
      <c r="J168" s="179"/>
      <c r="M168" s="22" t="s">
        <v>72</v>
      </c>
      <c r="N168" s="1" t="str">
        <v>Покупка и замена дверного доводчика (1 шт. лестничный марш).</v>
      </c>
    </row>
    <row r="169" spans="1:14" ht="28.5" customHeight="1">
      <c r="A169" s="178" t="str">
        <f t="shared" si="18"/>
        <v>Приобретение и замена общедомового прибора учета холодного водоснабжения.</v>
      </c>
      <c r="B169" s="178"/>
      <c r="C169" s="178"/>
      <c r="D169" s="178"/>
      <c r="E169" s="178"/>
      <c r="F169" s="183">
        <f t="shared" si="19"/>
        <v>5987.9</v>
      </c>
      <c r="G169" s="183"/>
      <c r="H169" s="29" t="str">
        <f t="shared" si="16"/>
        <v>разово</v>
      </c>
      <c r="I169" s="179">
        <f t="shared" si="20"/>
        <v>1</v>
      </c>
      <c r="J169" s="179"/>
      <c r="M169" s="22" t="s">
        <v>72</v>
      </c>
      <c r="N169" s="1" t="str">
        <v>Приобретение и замена общедомового прибора учета холодного водоснабжения.</v>
      </c>
    </row>
    <row r="170" spans="1:14" ht="28.5" customHeight="1">
      <c r="A170" s="178" t="str">
        <f t="shared" si="18"/>
        <v>Приобретение и монтаж противоскользящей ленты.</v>
      </c>
      <c r="B170" s="178"/>
      <c r="C170" s="178"/>
      <c r="D170" s="178"/>
      <c r="E170" s="178"/>
      <c r="F170" s="183">
        <f t="shared" si="19"/>
        <v>6000</v>
      </c>
      <c r="G170" s="183"/>
      <c r="H170" s="29" t="str">
        <f t="shared" si="16"/>
        <v>разово</v>
      </c>
      <c r="I170" s="179">
        <f t="shared" si="20"/>
        <v>1</v>
      </c>
      <c r="J170" s="179"/>
      <c r="M170" s="22" t="s">
        <v>72</v>
      </c>
      <c r="N170" s="1" t="str">
        <v>Приобретение и монтаж противоскользящей ленты.</v>
      </c>
    </row>
    <row r="171" spans="1:14" ht="28.5" customHeight="1">
      <c r="A171" s="178" t="str">
        <f t="shared" si="18"/>
        <v>Приобретение светодиодных светильников в резерв (10 шт.).</v>
      </c>
      <c r="B171" s="178"/>
      <c r="C171" s="178"/>
      <c r="D171" s="178"/>
      <c r="E171" s="178"/>
      <c r="F171" s="183">
        <f t="shared" si="19"/>
        <v>3800</v>
      </c>
      <c r="G171" s="183"/>
      <c r="H171" s="29" t="str">
        <f t="shared" si="16"/>
        <v>разово</v>
      </c>
      <c r="I171" s="179">
        <f t="shared" si="20"/>
        <v>1</v>
      </c>
      <c r="J171" s="179"/>
      <c r="M171" s="22" t="s">
        <v>72</v>
      </c>
      <c r="N171" s="1" t="str">
        <v>Приобретение светодиодных светильников в резерв (10 шт.).</v>
      </c>
    </row>
    <row r="172" spans="1:14" ht="28.5" hidden="1" customHeight="1">
      <c r="A172" s="178">
        <f t="shared" si="18"/>
        <v>0</v>
      </c>
      <c r="B172" s="178"/>
      <c r="C172" s="178"/>
      <c r="D172" s="178"/>
      <c r="E172" s="178"/>
      <c r="F172" s="183">
        <f t="shared" si="19"/>
        <v>0</v>
      </c>
      <c r="G172" s="183"/>
      <c r="H172" s="29" t="e">
        <f t="shared" si="16"/>
        <v>#N/A</v>
      </c>
      <c r="I172" s="179" t="e">
        <f t="shared" si="20"/>
        <v>#N/A</v>
      </c>
      <c r="J172" s="179"/>
      <c r="M172" s="22" t="s">
        <v>72</v>
      </c>
      <c r="N172" s="1">
        <v>0</v>
      </c>
    </row>
    <row r="173" spans="1:14" ht="28.5" hidden="1" customHeight="1">
      <c r="A173" s="178">
        <f t="shared" si="18"/>
        <v>0</v>
      </c>
      <c r="B173" s="178"/>
      <c r="C173" s="178"/>
      <c r="D173" s="178"/>
      <c r="E173" s="178"/>
      <c r="F173" s="183">
        <f t="shared" si="19"/>
        <v>0</v>
      </c>
      <c r="G173" s="183"/>
      <c r="H173" s="29" t="e">
        <f t="shared" si="16"/>
        <v>#N/A</v>
      </c>
      <c r="I173" s="179" t="e">
        <f t="shared" si="20"/>
        <v>#N/A</v>
      </c>
      <c r="J173" s="179"/>
      <c r="M173" s="22" t="s">
        <v>72</v>
      </c>
      <c r="N173" s="1">
        <v>0</v>
      </c>
    </row>
    <row r="174" spans="1:14" ht="28.5" hidden="1" customHeight="1">
      <c r="A174" s="178">
        <f t="shared" si="18"/>
        <v>0</v>
      </c>
      <c r="B174" s="178"/>
      <c r="C174" s="178"/>
      <c r="D174" s="178"/>
      <c r="E174" s="178"/>
      <c r="F174" s="183">
        <f t="shared" si="19"/>
        <v>0</v>
      </c>
      <c r="G174" s="183"/>
      <c r="H174" s="29" t="e">
        <f t="shared" si="16"/>
        <v>#N/A</v>
      </c>
      <c r="I174" s="179" t="e">
        <f t="shared" si="20"/>
        <v>#N/A</v>
      </c>
      <c r="J174" s="179"/>
      <c r="M174" s="22" t="s">
        <v>72</v>
      </c>
      <c r="N174" s="1">
        <v>0</v>
      </c>
    </row>
    <row r="175" spans="1:14" ht="28.5" hidden="1" customHeight="1">
      <c r="A175" s="178">
        <f t="shared" si="18"/>
        <v>0</v>
      </c>
      <c r="B175" s="178"/>
      <c r="C175" s="178"/>
      <c r="D175" s="178"/>
      <c r="E175" s="178"/>
      <c r="F175" s="183">
        <f t="shared" si="19"/>
        <v>0</v>
      </c>
      <c r="G175" s="183"/>
      <c r="H175" s="29" t="e">
        <f t="shared" si="16"/>
        <v>#N/A</v>
      </c>
      <c r="I175" s="179" t="e">
        <f t="shared" si="20"/>
        <v>#N/A</v>
      </c>
      <c r="J175" s="179"/>
      <c r="M175" s="22" t="s">
        <v>72</v>
      </c>
      <c r="N175" s="1">
        <v>0</v>
      </c>
    </row>
    <row r="176" spans="1:14" ht="28.5" hidden="1" customHeight="1">
      <c r="A176" s="178">
        <f t="shared" si="18"/>
        <v>0</v>
      </c>
      <c r="B176" s="178"/>
      <c r="C176" s="178"/>
      <c r="D176" s="178"/>
      <c r="E176" s="178"/>
      <c r="F176" s="183">
        <f t="shared" si="19"/>
        <v>0</v>
      </c>
      <c r="G176" s="183"/>
      <c r="H176" s="29" t="e">
        <f t="shared" si="16"/>
        <v>#N/A</v>
      </c>
      <c r="I176" s="179" t="e">
        <f t="shared" si="20"/>
        <v>#N/A</v>
      </c>
      <c r="J176" s="179"/>
      <c r="M176" s="22" t="s">
        <v>72</v>
      </c>
      <c r="N176" s="1">
        <v>0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83">
        <f t="shared" si="19"/>
        <v>0</v>
      </c>
      <c r="G177" s="183"/>
      <c r="H177" s="29" t="e">
        <f t="shared" si="16"/>
        <v>#N/A</v>
      </c>
      <c r="I177" s="179" t="e">
        <f t="shared" si="20"/>
        <v>#N/A</v>
      </c>
      <c r="J177" s="179"/>
      <c r="M177" s="22" t="s">
        <v>72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83">
        <f t="shared" si="19"/>
        <v>0</v>
      </c>
      <c r="G178" s="183"/>
      <c r="H178" s="29" t="e">
        <f t="shared" si="16"/>
        <v>#N/A</v>
      </c>
      <c r="I178" s="179" t="e">
        <f t="shared" si="20"/>
        <v>#N/A</v>
      </c>
      <c r="J178" s="179"/>
      <c r="M178" s="22" t="s">
        <v>72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83">
        <f t="shared" si="19"/>
        <v>0</v>
      </c>
      <c r="G179" s="183"/>
      <c r="H179" s="29" t="e">
        <f t="shared" si="16"/>
        <v>#N/A</v>
      </c>
      <c r="I179" s="179" t="e">
        <f t="shared" si="20"/>
        <v>#N/A</v>
      </c>
      <c r="J179" s="179"/>
      <c r="M179" s="22" t="s">
        <v>72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83">
        <f t="shared" si="19"/>
        <v>0</v>
      </c>
      <c r="G180" s="183"/>
      <c r="H180" s="29" t="e">
        <f t="shared" si="16"/>
        <v>#N/A</v>
      </c>
      <c r="I180" s="179" t="e">
        <f t="shared" si="20"/>
        <v>#N/A</v>
      </c>
      <c r="J180" s="179"/>
      <c r="M180" s="22" t="s">
        <v>72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83">
        <f t="shared" si="19"/>
        <v>0</v>
      </c>
      <c r="G181" s="183"/>
      <c r="H181" s="29" t="e">
        <f t="shared" si="16"/>
        <v>#N/A</v>
      </c>
      <c r="I181" s="179" t="e">
        <f t="shared" si="20"/>
        <v>#N/A</v>
      </c>
      <c r="J181" s="179"/>
      <c r="M181" s="22" t="s">
        <v>72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83">
        <f t="shared" si="19"/>
        <v>0</v>
      </c>
      <c r="G182" s="183"/>
      <c r="H182" s="29" t="e">
        <f t="shared" si="16"/>
        <v>#N/A</v>
      </c>
      <c r="I182" s="179" t="e">
        <f t="shared" si="20"/>
        <v>#N/A</v>
      </c>
      <c r="J182" s="179"/>
      <c r="M182" s="22" t="s">
        <v>72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83">
        <f t="shared" si="19"/>
        <v>0</v>
      </c>
      <c r="G183" s="183"/>
      <c r="H183" s="29" t="e">
        <f t="shared" si="16"/>
        <v>#N/A</v>
      </c>
      <c r="I183" s="179" t="e">
        <f t="shared" si="20"/>
        <v>#N/A</v>
      </c>
      <c r="J183" s="179"/>
      <c r="M183" s="22" t="s">
        <v>72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83">
        <f t="shared" si="19"/>
        <v>0</v>
      </c>
      <c r="G184" s="183"/>
      <c r="H184" s="29" t="e">
        <f t="shared" si="16"/>
        <v>#N/A</v>
      </c>
      <c r="I184" s="179" t="e">
        <f t="shared" si="20"/>
        <v>#N/A</v>
      </c>
      <c r="J184" s="179"/>
      <c r="M184" s="22" t="s">
        <v>72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83">
        <f t="shared" si="19"/>
        <v>0</v>
      </c>
      <c r="G185" s="183"/>
      <c r="H185" s="29" t="e">
        <f t="shared" si="16"/>
        <v>#N/A</v>
      </c>
      <c r="I185" s="179" t="e">
        <f t="shared" si="20"/>
        <v>#N/A</v>
      </c>
      <c r="J185" s="179"/>
      <c r="M185" s="22" t="s">
        <v>72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83">
        <f t="shared" si="19"/>
        <v>0</v>
      </c>
      <c r="G186" s="183"/>
      <c r="H186" s="29" t="e">
        <f t="shared" si="16"/>
        <v>#N/A</v>
      </c>
      <c r="I186" s="179" t="e">
        <f t="shared" si="20"/>
        <v>#N/A</v>
      </c>
      <c r="J186" s="179"/>
      <c r="M186" s="22" t="s">
        <v>72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83">
        <f t="shared" si="19"/>
        <v>0</v>
      </c>
      <c r="G187" s="183"/>
      <c r="H187" s="29" t="e">
        <f t="shared" si="16"/>
        <v>#N/A</v>
      </c>
      <c r="I187" s="179" t="e">
        <f t="shared" si="20"/>
        <v>#N/A</v>
      </c>
      <c r="J187" s="17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3" t="s">
        <v>198</v>
      </c>
      <c r="B190" s="203"/>
      <c r="C190" s="203"/>
      <c r="D190" s="203"/>
      <c r="E190" s="27">
        <f>SUM(F158:G187)</f>
        <v>590181.25000000012</v>
      </c>
    </row>
    <row r="191" spans="1:14" ht="51.75" customHeight="1">
      <c r="A191" s="203" t="s">
        <v>197</v>
      </c>
      <c r="B191" s="203"/>
      <c r="C191" s="203"/>
      <c r="D191" s="203"/>
      <c r="E191" s="27">
        <f>E190+E154-E155</f>
        <v>-621092.31999999983</v>
      </c>
    </row>
    <row r="192" spans="1:14">
      <c r="A192" s="104" t="s">
        <v>174</v>
      </c>
    </row>
    <row r="193" spans="1:10" ht="62.25" customHeight="1">
      <c r="A193" s="177" t="s">
        <v>196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техническое освидетельствование лифтов</v>
      </c>
      <c r="B195" s="175"/>
      <c r="C195" s="175"/>
      <c r="D195" s="175"/>
      <c r="E195" s="175"/>
      <c r="F195" s="175"/>
      <c r="G195" s="175"/>
      <c r="H195" s="49">
        <f>ПТО!G13</f>
        <v>16200</v>
      </c>
      <c r="I195" s="50" t="s">
        <v>74</v>
      </c>
    </row>
    <row r="196" spans="1:10" ht="18.75" customHeight="1">
      <c r="A196" s="175" t="str">
        <f>ПТО!F14</f>
        <v xml:space="preserve">  -  техническое обслуживание системы видеонаблюдения</v>
      </c>
      <c r="B196" s="175"/>
      <c r="C196" s="175"/>
      <c r="D196" s="175"/>
      <c r="E196" s="175"/>
      <c r="F196" s="175"/>
      <c r="G196" s="175"/>
      <c r="H196" s="49">
        <f>ПТО!G14</f>
        <v>15200</v>
      </c>
      <c r="I196" s="50" t="s">
        <v>74</v>
      </c>
    </row>
    <row r="197" spans="1:10" ht="18.75" customHeight="1">
      <c r="A197" s="175" t="str">
        <f>ПТО!F15</f>
        <v xml:space="preserve">  -  покраска металлического ограждения</v>
      </c>
      <c r="B197" s="175"/>
      <c r="C197" s="175"/>
      <c r="D197" s="175"/>
      <c r="E197" s="175"/>
      <c r="F197" s="175"/>
      <c r="G197" s="175"/>
      <c r="H197" s="49">
        <f>ПТО!G15</f>
        <v>4000</v>
      </c>
      <c r="I197" s="50" t="s">
        <v>74</v>
      </c>
    </row>
    <row r="198" spans="1:10" ht="37.5" customHeight="1">
      <c r="A198" s="175" t="str">
        <f>ПТО!F16</f>
        <v xml:space="preserve">  -  покраска (обновление) бордюров и разлиновка парковочных мест</v>
      </c>
      <c r="B198" s="175"/>
      <c r="C198" s="175"/>
      <c r="D198" s="175"/>
      <c r="E198" s="175"/>
      <c r="F198" s="175"/>
      <c r="G198" s="175"/>
      <c r="H198" s="49">
        <f>ПТО!G16</f>
        <v>9000</v>
      </c>
      <c r="I198" s="52" t="s">
        <v>74</v>
      </c>
    </row>
    <row r="199" spans="1:10" ht="37.5" customHeight="1">
      <c r="A199" s="175" t="str">
        <f>ПТО!F17</f>
        <v xml:space="preserve">  -  монтаж уличных светодиодных светильников за домами 1-ой очереди (3 шт.)</v>
      </c>
      <c r="B199" s="175"/>
      <c r="C199" s="175"/>
      <c r="D199" s="175"/>
      <c r="E199" s="175"/>
      <c r="F199" s="175"/>
      <c r="G199" s="175"/>
      <c r="H199" s="49">
        <f>ПТО!G17</f>
        <v>15500</v>
      </c>
      <c r="I199" s="50" t="s">
        <v>74</v>
      </c>
    </row>
    <row r="200" spans="1:10" ht="37.5" customHeight="1">
      <c r="A200" s="175" t="str">
        <f>ПТО!F18</f>
        <v xml:space="preserve">  -  промазка битумным технониколем швов рулонного технониколя, фановых труб, вентиляционных шахт, парапетов и т.п.</v>
      </c>
      <c r="B200" s="175"/>
      <c r="C200" s="175"/>
      <c r="D200" s="175"/>
      <c r="E200" s="175"/>
      <c r="F200" s="175"/>
      <c r="G200" s="175"/>
      <c r="H200" s="49">
        <f>ПТО!G18</f>
        <v>12000</v>
      </c>
      <c r="I200" s="50" t="s">
        <v>74</v>
      </c>
    </row>
    <row r="201" spans="1:10" ht="37.5" customHeight="1">
      <c r="A201" s="175" t="str">
        <f>ПТО!F19</f>
        <v xml:space="preserve">  -  покупка запасных светильников в лифтовые и приквартирные холлы</v>
      </c>
      <c r="B201" s="175"/>
      <c r="C201" s="175"/>
      <c r="D201" s="175"/>
      <c r="E201" s="175"/>
      <c r="F201" s="175"/>
      <c r="G201" s="175"/>
      <c r="H201" s="49">
        <f>ПТО!G19</f>
        <v>5000</v>
      </c>
      <c r="I201" s="50" t="s">
        <v>74</v>
      </c>
    </row>
    <row r="202" spans="1:10" ht="37.5" customHeight="1">
      <c r="A202" s="175" t="str">
        <f>ПТО!F20</f>
        <v xml:space="preserve">  -  изготовление, монтаж металлических панелей для закрытия сейсмопоясов МКД</v>
      </c>
      <c r="B202" s="175"/>
      <c r="C202" s="175"/>
      <c r="D202" s="175"/>
      <c r="E202" s="175"/>
      <c r="F202" s="175"/>
      <c r="G202" s="175"/>
      <c r="H202" s="49">
        <f>ПТО!G20</f>
        <v>200000</v>
      </c>
      <c r="I202" s="50" t="s">
        <v>74</v>
      </c>
    </row>
    <row r="203" spans="1:10">
      <c r="A203" s="175" t="str">
        <f>ПТО!F21</f>
        <v xml:space="preserve">  -  ремонт незадымляемых переходов</v>
      </c>
      <c r="B203" s="175"/>
      <c r="C203" s="175"/>
      <c r="D203" s="175"/>
      <c r="E203" s="175"/>
      <c r="F203" s="175"/>
      <c r="G203" s="175"/>
      <c r="H203" s="49">
        <f>ПТО!G21</f>
        <v>100000</v>
      </c>
      <c r="I203" s="50" t="s">
        <v>74</v>
      </c>
    </row>
    <row r="204" spans="1:10">
      <c r="A204" s="175" t="str">
        <f>ПТО!F22</f>
        <v xml:space="preserve">  -  косметический ремонт подъезда</v>
      </c>
      <c r="B204" s="175"/>
      <c r="C204" s="175"/>
      <c r="D204" s="175"/>
      <c r="E204" s="175"/>
      <c r="F204" s="175"/>
      <c r="G204" s="175"/>
      <c r="H204" s="49">
        <f>ПТО!G22</f>
        <v>1000000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1378100</v>
      </c>
      <c r="I214" s="56" t="s">
        <v>77</v>
      </c>
    </row>
  </sheetData>
  <sheetProtection algorithmName="SHA-512" hashValue="Wvy9pi49M2p/iynOD5f3fnSUQC850360FzOoxA9PIfSzOC9nUJA3EoVmHKNN0Gb3NdoKFA+SbedTSF6ZSot86Q==" saltValue="veOQrdNX2mpUo02a3Wh6U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5" sqref="A15:E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200</v>
      </c>
      <c r="G1" s="101">
        <f>-755651.57</f>
        <v>-755651.57</v>
      </c>
    </row>
    <row r="2" spans="1:12" ht="18.75" customHeight="1">
      <c r="A2" s="166" t="s">
        <v>177</v>
      </c>
      <c r="B2" s="117" t="s">
        <v>179</v>
      </c>
      <c r="C2" s="117">
        <v>12</v>
      </c>
      <c r="D2" s="118">
        <f>3800*12*0.332</f>
        <v>15139.2</v>
      </c>
      <c r="E2" s="132" t="s">
        <v>223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7" t="s">
        <v>178</v>
      </c>
      <c r="B3" s="168" t="s">
        <v>180</v>
      </c>
      <c r="C3" s="168">
        <v>2</v>
      </c>
      <c r="D3" s="118">
        <v>16200</v>
      </c>
      <c r="E3" s="132" t="s">
        <v>224</v>
      </c>
      <c r="F3" s="30"/>
      <c r="G3" s="30"/>
      <c r="L3" s="33" t="str">
        <f t="shared" si="0"/>
        <v>ТР</v>
      </c>
    </row>
    <row r="4" spans="1:12" ht="18.75" customHeight="1">
      <c r="A4" s="145" t="s">
        <v>206</v>
      </c>
      <c r="B4" s="128" t="s">
        <v>202</v>
      </c>
      <c r="C4" s="141">
        <v>1</v>
      </c>
      <c r="D4" s="140">
        <v>15500.5</v>
      </c>
      <c r="E4" s="132" t="s">
        <v>207</v>
      </c>
      <c r="F4" s="30"/>
      <c r="G4" s="30"/>
      <c r="L4" s="33" t="str">
        <f t="shared" si="0"/>
        <v>ТР</v>
      </c>
    </row>
    <row r="5" spans="1:12" ht="31.5" customHeight="1">
      <c r="A5" s="146" t="s">
        <v>203</v>
      </c>
      <c r="B5" s="147" t="s">
        <v>202</v>
      </c>
      <c r="C5" s="117">
        <v>1</v>
      </c>
      <c r="D5" s="118">
        <v>436032.4</v>
      </c>
      <c r="E5" s="132" t="s">
        <v>209</v>
      </c>
      <c r="F5" s="44"/>
      <c r="G5" s="44"/>
      <c r="K5" s="46"/>
      <c r="L5" s="33" t="str">
        <f t="shared" si="0"/>
        <v>ТР</v>
      </c>
    </row>
    <row r="6" spans="1:12" ht="27.75" customHeight="1">
      <c r="A6" s="148" t="s">
        <v>201</v>
      </c>
      <c r="B6" s="128" t="s">
        <v>202</v>
      </c>
      <c r="C6" s="141">
        <v>1</v>
      </c>
      <c r="D6" s="140">
        <v>10101.299999999999</v>
      </c>
      <c r="E6" s="132" t="s">
        <v>213</v>
      </c>
      <c r="F6" s="44"/>
      <c r="G6" s="44"/>
      <c r="K6" s="46"/>
      <c r="L6" s="33" t="str">
        <f t="shared" si="0"/>
        <v>ТР</v>
      </c>
    </row>
    <row r="7" spans="1:12" ht="18.75" customHeight="1">
      <c r="A7" s="169" t="s">
        <v>204</v>
      </c>
      <c r="B7" s="170" t="s">
        <v>202</v>
      </c>
      <c r="C7" s="123">
        <v>1</v>
      </c>
      <c r="D7" s="125">
        <v>8000</v>
      </c>
      <c r="E7" s="132" t="s">
        <v>225</v>
      </c>
      <c r="F7" s="45"/>
      <c r="G7" s="45"/>
      <c r="K7" s="46"/>
      <c r="L7" s="33" t="str">
        <f t="shared" si="0"/>
        <v>ТР</v>
      </c>
    </row>
    <row r="8" spans="1:12" ht="34.5" customHeight="1">
      <c r="A8" s="149" t="s">
        <v>208</v>
      </c>
      <c r="B8" s="150" t="s">
        <v>202</v>
      </c>
      <c r="C8" s="117">
        <v>1</v>
      </c>
      <c r="D8" s="118">
        <v>2584.4</v>
      </c>
      <c r="E8" s="151" t="s">
        <v>214</v>
      </c>
      <c r="F8" s="45"/>
      <c r="G8" s="45"/>
      <c r="K8" s="43"/>
      <c r="L8" s="33" t="str">
        <f t="shared" si="0"/>
        <v>ТР</v>
      </c>
    </row>
    <row r="9" spans="1:12">
      <c r="A9" s="152" t="s">
        <v>218</v>
      </c>
      <c r="B9" s="153" t="s">
        <v>202</v>
      </c>
      <c r="C9" s="123">
        <v>1</v>
      </c>
      <c r="D9" s="154">
        <v>54000</v>
      </c>
      <c r="E9" s="121" t="s">
        <v>215</v>
      </c>
      <c r="F9" s="44"/>
      <c r="G9" s="44"/>
      <c r="K9" s="43"/>
      <c r="L9" s="33" t="str">
        <f t="shared" si="0"/>
        <v>ТР</v>
      </c>
    </row>
    <row r="10" spans="1:12">
      <c r="A10" s="159" t="s">
        <v>211</v>
      </c>
      <c r="B10" s="155" t="s">
        <v>202</v>
      </c>
      <c r="C10" s="156">
        <v>1</v>
      </c>
      <c r="D10" s="157">
        <v>5770</v>
      </c>
      <c r="E10" s="132" t="s">
        <v>216</v>
      </c>
      <c r="L10" s="33" t="str">
        <f t="shared" si="0"/>
        <v>ТР</v>
      </c>
    </row>
    <row r="11" spans="1:12" ht="94.5">
      <c r="A11" s="158" t="s">
        <v>210</v>
      </c>
      <c r="B11" s="128" t="s">
        <v>202</v>
      </c>
      <c r="C11" s="141">
        <v>1</v>
      </c>
      <c r="D11" s="140">
        <v>8390.75</v>
      </c>
      <c r="E11" s="132" t="s">
        <v>217</v>
      </c>
      <c r="F11" s="111" t="s">
        <v>196</v>
      </c>
      <c r="G11" s="111"/>
      <c r="L11" s="33" t="str">
        <f t="shared" si="0"/>
        <v>ТР</v>
      </c>
    </row>
    <row r="12" spans="1:12" ht="31.5">
      <c r="A12" s="160" t="s">
        <v>212</v>
      </c>
      <c r="B12" s="161" t="s">
        <v>202</v>
      </c>
      <c r="C12" s="123">
        <v>1</v>
      </c>
      <c r="D12" s="125">
        <v>2674.8</v>
      </c>
      <c r="E12" s="132" t="s">
        <v>220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2" t="s">
        <v>205</v>
      </c>
      <c r="B13" s="128" t="s">
        <v>202</v>
      </c>
      <c r="C13" s="141">
        <v>1</v>
      </c>
      <c r="D13" s="140">
        <v>5987.9</v>
      </c>
      <c r="E13" s="132" t="s">
        <v>221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63" t="s">
        <v>219</v>
      </c>
      <c r="B14" s="164" t="s">
        <v>202</v>
      </c>
      <c r="C14" s="117">
        <v>1</v>
      </c>
      <c r="D14" s="118">
        <v>6000</v>
      </c>
      <c r="E14" s="165" t="s">
        <v>222</v>
      </c>
      <c r="F14" s="112" t="s">
        <v>75</v>
      </c>
      <c r="G14" s="113">
        <v>15200</v>
      </c>
      <c r="L14" s="33" t="str">
        <f t="shared" si="0"/>
        <v>ТР</v>
      </c>
    </row>
    <row r="15" spans="1:12" ht="31.5">
      <c r="A15" s="173" t="s">
        <v>226</v>
      </c>
      <c r="B15" s="174" t="s">
        <v>202</v>
      </c>
      <c r="C15" s="124">
        <v>1</v>
      </c>
      <c r="D15" s="125">
        <v>3800</v>
      </c>
      <c r="E15" s="121" t="s">
        <v>234</v>
      </c>
      <c r="F15" s="112" t="s">
        <v>184</v>
      </c>
      <c r="G15" s="113">
        <v>4000</v>
      </c>
      <c r="L15" s="33" t="str">
        <f t="shared" si="0"/>
        <v>ТР</v>
      </c>
    </row>
    <row r="16" spans="1:12" ht="31.5">
      <c r="A16" s="133"/>
      <c r="B16" s="134"/>
      <c r="C16" s="124"/>
      <c r="D16" s="125"/>
      <c r="E16" s="121"/>
      <c r="F16" s="112" t="s">
        <v>185</v>
      </c>
      <c r="G16" s="113">
        <v>9000</v>
      </c>
      <c r="L16" s="33">
        <f t="shared" si="0"/>
        <v>0</v>
      </c>
    </row>
    <row r="17" spans="1:12" ht="47.25">
      <c r="A17" s="135"/>
      <c r="B17" s="136"/>
      <c r="C17" s="137"/>
      <c r="D17" s="138"/>
      <c r="E17" s="139"/>
      <c r="F17" s="112" t="s">
        <v>227</v>
      </c>
      <c r="G17" s="113">
        <v>15500</v>
      </c>
      <c r="L17" s="33">
        <f t="shared" si="0"/>
        <v>0</v>
      </c>
    </row>
    <row r="18" spans="1:12" ht="63">
      <c r="A18" s="131"/>
      <c r="B18" s="123"/>
      <c r="C18" s="124"/>
      <c r="D18" s="125"/>
      <c r="E18" s="121"/>
      <c r="F18" s="112" t="s">
        <v>228</v>
      </c>
      <c r="G18" s="113">
        <v>12000</v>
      </c>
      <c r="L18" s="33">
        <f t="shared" si="0"/>
        <v>0</v>
      </c>
    </row>
    <row r="19" spans="1:12" ht="31.5">
      <c r="A19" s="131"/>
      <c r="B19" s="123"/>
      <c r="C19" s="124"/>
      <c r="D19" s="125"/>
      <c r="E19" s="121"/>
      <c r="F19" s="112" t="s">
        <v>195</v>
      </c>
      <c r="G19" s="113">
        <v>5000</v>
      </c>
      <c r="L19" s="33">
        <f t="shared" si="0"/>
        <v>0</v>
      </c>
    </row>
    <row r="20" spans="1:12" ht="47.25">
      <c r="A20" s="127"/>
      <c r="B20" s="123"/>
      <c r="C20" s="128"/>
      <c r="D20" s="125"/>
      <c r="E20" s="122"/>
      <c r="F20" s="112" t="s">
        <v>229</v>
      </c>
      <c r="G20" s="113">
        <v>200000</v>
      </c>
      <c r="L20" s="33">
        <f t="shared" si="0"/>
        <v>0</v>
      </c>
    </row>
    <row r="21" spans="1:12" ht="15.75">
      <c r="B21" s="123"/>
      <c r="C21" s="126"/>
      <c r="E21" s="122"/>
      <c r="F21" s="171" t="s">
        <v>230</v>
      </c>
      <c r="G21" s="113">
        <v>100000</v>
      </c>
      <c r="L21" s="33">
        <f t="shared" si="0"/>
        <v>0</v>
      </c>
    </row>
    <row r="22" spans="1:12" ht="15.75">
      <c r="B22" s="123"/>
      <c r="C22" s="126"/>
      <c r="E22" s="122"/>
      <c r="F22" s="112" t="s">
        <v>231</v>
      </c>
      <c r="G22" s="113">
        <v>1000000</v>
      </c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/>
      <c r="G24"/>
      <c r="L24" s="33">
        <f t="shared" si="1"/>
        <v>0</v>
      </c>
    </row>
    <row r="25" spans="1:12" ht="15.75">
      <c r="F25" s="129"/>
      <c r="G25" s="130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44">
        <v>483908.76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483908.76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169504.8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42831.839999999997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109357.56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109357.56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71082.600000000006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157657.68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42"/>
      <c r="C47" s="143"/>
      <c r="D47" s="48"/>
      <c r="E47" s="142">
        <v>1830.7</v>
      </c>
      <c r="F47" s="142">
        <v>1640.1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187</v>
      </c>
      <c r="B48" s="144">
        <v>22782.959999999999</v>
      </c>
      <c r="C48" s="143" t="s">
        <v>68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22782.959999999999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6" t="s">
        <v>188</v>
      </c>
      <c r="F52" s="126" t="s">
        <v>189</v>
      </c>
      <c r="G52" s="126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>
        <v>35.896999999999998</v>
      </c>
      <c r="F53" s="142">
        <v>7834.2</v>
      </c>
      <c r="G53" s="126">
        <v>3.83</v>
      </c>
      <c r="H53" s="126">
        <f>G53*E47/F53</f>
        <v>0.8949964259273443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/>
      <c r="F54" s="126" t="s">
        <v>191</v>
      </c>
      <c r="G54" s="126" t="s">
        <v>192</v>
      </c>
      <c r="H54" s="126">
        <f>H53*G56</f>
        <v>39.290343098210414</v>
      </c>
    </row>
    <row r="55" spans="5:16">
      <c r="E55" s="126"/>
      <c r="F55" s="126">
        <v>1.17</v>
      </c>
      <c r="G55" s="126">
        <v>1.23</v>
      </c>
      <c r="H55" s="126"/>
    </row>
    <row r="56" spans="5:16">
      <c r="E56" s="126"/>
      <c r="F56" s="126"/>
      <c r="G56" s="126">
        <v>43.9</v>
      </c>
      <c r="H56" s="126"/>
    </row>
    <row r="57" spans="5:16">
      <c r="E57" s="126"/>
      <c r="F57" s="126"/>
      <c r="G57" s="126"/>
      <c r="H57" s="126"/>
    </row>
    <row r="58" spans="5:16">
      <c r="E58" s="126" t="s">
        <v>193</v>
      </c>
      <c r="F58" s="126"/>
      <c r="G58" s="126"/>
      <c r="H58" s="126"/>
    </row>
    <row r="59" spans="5:16">
      <c r="E59" s="126">
        <v>0.59599999999999997</v>
      </c>
      <c r="F59" s="142">
        <f>F53</f>
        <v>7834.2</v>
      </c>
      <c r="G59" s="126">
        <v>7.4999999999999997E-2</v>
      </c>
      <c r="H59" s="126">
        <f>G59*F47</f>
        <v>123.00749999999999</v>
      </c>
    </row>
    <row r="60" spans="5:16">
      <c r="E60" s="126"/>
      <c r="F60" s="126" t="s">
        <v>191</v>
      </c>
      <c r="G60" s="126" t="s">
        <v>192</v>
      </c>
      <c r="H60" s="126">
        <f>H59/F59</f>
        <v>1.570134793597304E-2</v>
      </c>
    </row>
    <row r="61" spans="5:16">
      <c r="E61" s="126"/>
      <c r="F61" s="126">
        <v>12.94</v>
      </c>
      <c r="G61" s="126">
        <v>13.45</v>
      </c>
      <c r="H61" s="126">
        <f>H60*G56</f>
        <v>0.68928917438921644</v>
      </c>
    </row>
    <row r="62" spans="5:16">
      <c r="E62" s="126" t="s">
        <v>194</v>
      </c>
      <c r="F62" s="126"/>
      <c r="G62" s="126"/>
      <c r="H62" s="126"/>
    </row>
    <row r="63" spans="5:16">
      <c r="E63" s="126">
        <v>0.59599999999999997</v>
      </c>
      <c r="F63" s="142">
        <f>F53</f>
        <v>7834.2</v>
      </c>
      <c r="G63" s="126">
        <v>7.4999999999999997E-2</v>
      </c>
      <c r="H63" s="126">
        <f>G63*F47</f>
        <v>123.00749999999999</v>
      </c>
    </row>
    <row r="64" spans="5:16">
      <c r="E64" s="126"/>
      <c r="F64" s="126" t="s">
        <v>191</v>
      </c>
      <c r="G64" s="126" t="s">
        <v>192</v>
      </c>
      <c r="H64" s="126">
        <f>H63/F63</f>
        <v>1.570134793597304E-2</v>
      </c>
    </row>
    <row r="65" spans="4:13" ht="18.75" customHeight="1">
      <c r="E65" s="126"/>
      <c r="F65" s="126">
        <v>15.73</v>
      </c>
      <c r="G65" s="126">
        <v>16.350000000000001</v>
      </c>
      <c r="H65" s="126">
        <f>H64*G56</f>
        <v>0.68928917438921644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B7165CXjunqXdS3jAWaHiqFo5uwO5c/g9k3j2o+OZ0MOO9ULzNZ34mdDX6GdDoE3PuG4Vt5cCQnQ84jEu+ijKg==" saltValue="f1ZoNJkm0ThW5uj5ufaJS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33</v>
      </c>
      <c r="E1" s="60" t="s">
        <v>181</v>
      </c>
      <c r="F1" s="60">
        <v>7593.7</v>
      </c>
    </row>
    <row r="2" spans="1:15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0">
        <v>5</v>
      </c>
      <c r="F2" s="119" t="s">
        <v>182</v>
      </c>
      <c r="G2" s="119"/>
      <c r="H2" s="119"/>
      <c r="I2" s="119"/>
      <c r="J2" s="119"/>
      <c r="K2" s="119"/>
      <c r="L2" s="119"/>
      <c r="M2" s="119"/>
      <c r="N2" s="119"/>
      <c r="O2" s="119"/>
    </row>
    <row r="3" spans="1:15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 t="s">
        <v>232</v>
      </c>
      <c r="F3" s="61" t="s">
        <v>233</v>
      </c>
      <c r="G3" s="61"/>
      <c r="H3" s="61"/>
      <c r="I3" s="61"/>
      <c r="J3" s="61"/>
    </row>
    <row r="4" spans="1:15" ht="15.75" customHeight="1">
      <c r="A4" s="70" t="s">
        <v>84</v>
      </c>
      <c r="B4" s="72" t="s">
        <v>4</v>
      </c>
      <c r="C4" s="83">
        <v>2230268.13</v>
      </c>
      <c r="D4" s="81" t="s">
        <v>60</v>
      </c>
      <c r="E4" s="61"/>
      <c r="F4" s="61"/>
      <c r="G4" s="61"/>
      <c r="H4" s="61"/>
      <c r="I4" s="61"/>
      <c r="J4" s="61"/>
    </row>
    <row r="5" spans="1:15" ht="15.75" customHeight="1">
      <c r="A5" s="70" t="s">
        <v>85</v>
      </c>
      <c r="B5" s="72" t="s">
        <v>5</v>
      </c>
      <c r="C5" s="79">
        <f>SUM(C6:C8)</f>
        <v>1968287.0399999998</v>
      </c>
      <c r="D5" s="80" t="s">
        <v>59</v>
      </c>
      <c r="E5" s="61"/>
      <c r="F5" s="61"/>
      <c r="G5" s="61"/>
      <c r="H5" s="61"/>
      <c r="I5" s="61"/>
      <c r="J5" s="61"/>
    </row>
    <row r="6" spans="1:15" ht="15.75" customHeight="1">
      <c r="A6" s="70" t="s">
        <v>86</v>
      </c>
      <c r="B6" s="72" t="s">
        <v>6</v>
      </c>
      <c r="C6" s="83">
        <f>11.6*12*F1</f>
        <v>1057043.0399999998</v>
      </c>
      <c r="D6" s="81" t="s">
        <v>61</v>
      </c>
      <c r="E6" s="61"/>
      <c r="F6" s="61"/>
      <c r="G6" s="61"/>
      <c r="H6" s="61"/>
      <c r="I6" s="61"/>
      <c r="J6" s="61"/>
    </row>
    <row r="7" spans="1:15" ht="15.75" customHeight="1">
      <c r="A7" s="70" t="s">
        <v>87</v>
      </c>
      <c r="B7" s="72" t="s">
        <v>7</v>
      </c>
      <c r="C7" s="83">
        <f>F1*5*12</f>
        <v>455622</v>
      </c>
      <c r="D7" s="81" t="s">
        <v>62</v>
      </c>
      <c r="E7" s="61"/>
      <c r="F7" s="61"/>
      <c r="G7" s="61"/>
      <c r="H7" s="61"/>
      <c r="I7" s="61"/>
      <c r="J7" s="61"/>
    </row>
    <row r="8" spans="1:15" ht="15.75" customHeight="1">
      <c r="A8" s="70" t="s">
        <v>88</v>
      </c>
      <c r="B8" s="72" t="s">
        <v>8</v>
      </c>
      <c r="C8" s="83">
        <f>5*12*F1</f>
        <v>455622</v>
      </c>
      <c r="D8" s="81" t="s">
        <v>63</v>
      </c>
      <c r="E8" s="61"/>
      <c r="F8" s="61"/>
      <c r="G8" s="61"/>
      <c r="H8" s="61"/>
      <c r="I8" s="61"/>
      <c r="J8" s="61"/>
    </row>
    <row r="9" spans="1:15" ht="15.75" customHeight="1">
      <c r="A9" s="70" t="s">
        <v>89</v>
      </c>
      <c r="B9" s="72" t="s">
        <v>9</v>
      </c>
      <c r="C9" s="79">
        <f>SUM(C10:C14)</f>
        <v>1924514.7800000007</v>
      </c>
      <c r="D9" s="80" t="s">
        <v>59</v>
      </c>
      <c r="E9" s="61"/>
      <c r="F9" s="61"/>
      <c r="G9" s="61"/>
      <c r="H9" s="61"/>
      <c r="I9" s="61"/>
      <c r="J9" s="61"/>
    </row>
    <row r="10" spans="1:15" ht="15.75" customHeight="1">
      <c r="A10" s="70" t="s">
        <v>90</v>
      </c>
      <c r="B10" s="72" t="s">
        <v>10</v>
      </c>
      <c r="C10" s="83">
        <v>1924514.7800000007</v>
      </c>
      <c r="D10" s="81" t="s">
        <v>64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95</v>
      </c>
      <c r="B15" s="72" t="s">
        <v>15</v>
      </c>
      <c r="C15" s="79">
        <f>C9</f>
        <v>1924514.7800000007</v>
      </c>
      <c r="D15" s="80" t="s">
        <v>59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2274040.3899999992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105</v>
      </c>
      <c r="B27" s="75" t="s">
        <v>4</v>
      </c>
      <c r="C27" s="86">
        <v>15693.71</v>
      </c>
      <c r="D27" s="81" t="s">
        <v>60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108</v>
      </c>
      <c r="B30" s="75" t="s">
        <v>18</v>
      </c>
      <c r="C30" s="86">
        <f>C27+46743.36</f>
        <v>62437.07</v>
      </c>
      <c r="D30" s="81" t="s">
        <v>66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201378.6099999999</v>
      </c>
      <c r="F45" s="94" t="s">
        <v>167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14709.242819465253</v>
      </c>
      <c r="D46" s="94" t="s">
        <v>168</v>
      </c>
      <c r="E46" s="68"/>
      <c r="G46" s="67"/>
      <c r="H46" s="67"/>
      <c r="L46" s="63"/>
      <c r="M46" s="204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186456.8900000001</v>
      </c>
      <c r="D47" s="94" t="s">
        <v>166</v>
      </c>
      <c r="E47" s="68"/>
      <c r="G47" s="67"/>
      <c r="H47" s="67"/>
      <c r="L47" s="63"/>
      <c r="M47" s="204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14921.719999999797</v>
      </c>
      <c r="D48" s="80" t="s">
        <v>59</v>
      </c>
      <c r="E48" s="172"/>
      <c r="G48" s="67"/>
      <c r="H48" s="67"/>
      <c r="L48" s="63"/>
      <c r="M48" s="204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201378.6099999999</v>
      </c>
      <c r="D49" s="80" t="s">
        <v>59</v>
      </c>
      <c r="E49" s="172"/>
      <c r="G49" s="67"/>
      <c r="H49" s="67"/>
      <c r="L49" s="63"/>
      <c r="M49" s="204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201378.6099999999</v>
      </c>
      <c r="D50" s="80" t="s">
        <v>59</v>
      </c>
      <c r="E50" s="172"/>
      <c r="G50" s="67"/>
      <c r="H50" s="67"/>
      <c r="L50" s="63"/>
      <c r="M50" s="204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394416.35</v>
      </c>
      <c r="F53" s="94" t="s">
        <v>167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23696.362669481205</v>
      </c>
      <c r="D54" s="94" t="s">
        <v>168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362594.71000000008</v>
      </c>
      <c r="D55" s="94" t="s">
        <v>166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31821.639999999898</v>
      </c>
      <c r="D56" s="80" t="s">
        <v>59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394416.35</v>
      </c>
      <c r="D57" s="80" t="s">
        <v>59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394416.35</v>
      </c>
      <c r="D58" s="80" t="s">
        <v>59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3" sqref="E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2023-03-31T03:16:00Z</dcterms:modified>
</cp:coreProperties>
</file>