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G1" i="2" l="1"/>
  <c r="A196" i="1" l="1"/>
  <c r="F40" i="2" l="1"/>
  <c r="B47" i="2" s="1"/>
  <c r="B44" i="2" l="1"/>
  <c r="B41" i="2"/>
  <c r="B46" i="2"/>
  <c r="C8" i="3"/>
  <c r="H63" i="2" l="1"/>
  <c r="F63" i="2"/>
  <c r="H59" i="2"/>
  <c r="F59" i="2"/>
  <c r="H53" i="2"/>
  <c r="H54" i="2" s="1"/>
  <c r="H64" i="2" l="1"/>
  <c r="H65" i="2" s="1"/>
  <c r="H60" i="2"/>
  <c r="H61" i="2" s="1"/>
  <c r="C7" i="3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D102" i="1" l="1"/>
  <c r="A108" i="1"/>
  <c r="A104" i="1"/>
  <c r="A95" i="1"/>
  <c r="A98" i="1"/>
  <c r="A94" i="1"/>
  <c r="A99" i="1"/>
  <c r="A119" i="1"/>
  <c r="A123" i="1"/>
  <c r="A118" i="1"/>
  <c r="D118" i="1"/>
  <c r="A120" i="1"/>
  <c r="A124" i="1"/>
  <c r="F118" i="1"/>
  <c r="A121" i="1"/>
  <c r="A125" i="1"/>
  <c r="A140" i="1"/>
  <c r="F134" i="1"/>
  <c r="A110" i="1"/>
  <c r="A141" i="1"/>
  <c r="A136" i="1"/>
  <c r="A114" i="1"/>
  <c r="D134" i="1"/>
  <c r="A137" i="1"/>
  <c r="A111" i="1"/>
  <c r="A115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67" i="1"/>
  <c r="A158" i="1"/>
  <c r="E155" i="1"/>
  <c r="F170" i="1" l="1"/>
  <c r="H167" i="1"/>
  <c r="F165" i="1"/>
  <c r="H186" i="1"/>
  <c r="H179" i="1"/>
  <c r="H177" i="1"/>
  <c r="F177" i="1"/>
  <c r="F173" i="1"/>
  <c r="H172" i="1"/>
  <c r="H170" i="1"/>
  <c r="H165" i="1"/>
  <c r="H164" i="1"/>
  <c r="F171" i="1"/>
  <c r="F179" i="1"/>
  <c r="H171" i="1"/>
  <c r="F186" i="1"/>
  <c r="H173" i="1"/>
  <c r="F180" i="1"/>
  <c r="H178" i="1"/>
  <c r="F172" i="1"/>
  <c r="H168" i="1"/>
  <c r="F178" i="1"/>
  <c r="F168" i="1"/>
  <c r="F176" i="1"/>
  <c r="H176" i="1"/>
  <c r="F175" i="1"/>
  <c r="H184" i="1"/>
  <c r="F187" i="1"/>
  <c r="F181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<sst xmlns="http://schemas.openxmlformats.org/spreadsheetml/2006/main" count="565" uniqueCount="212">
  <si>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</si>
  <si>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</si>
  <si>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</si>
  <si>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</si>
  <si>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</si>
  <si>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</si>
  <si>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</si>
  <si>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</si>
  <si>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</si>
  <si>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</si>
  <si>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</si>
  <si>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</si>
  <si>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</si>
  <si>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</si>
  <si>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</si>
  <si>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</si>
  <si>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</si>
  <si>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</si>
  <si>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</si>
  <si>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</si>
  <si>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</si>
  <si>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</si>
  <si>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</si>
  <si>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</si>
  <si>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</si>
  <si>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</si>
  <si>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</si>
  <si>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</si>
  <si>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</si>
  <si>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</si>
  <si>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</si>
  <si>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</si>
  <si>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</si>
  <si>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</si>
  <si>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</si>
  <si>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</si>
  <si>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</si>
  <si>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</si>
  <si>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</si>
  <si>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</si>
  <si>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</si>
  <si>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</si>
  <si>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</si>
  <si>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</si>
  <si>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</si>
  <si>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</si>
  <si>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</si>
  <si>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</si>
  <si>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</si>
  <si>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</si>
  <si>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</si>
  <si>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</si>
  <si>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</si>
  <si>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</si>
  <si>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</si>
  <si>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</si>
  <si>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</si>
  <si>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</si>
  <si>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</si>
  <si>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</si>
  <si>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</si>
  <si>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</si>
  <si>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</si>
  <si>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</si>
  <si>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</si>
  <si>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</si>
  <si>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</si>
  <si>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</si>
  <si>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</si>
  <si>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</si>
  <si>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</si>
  <si>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</si>
  <si>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</si>
  <si>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</si>
  <si>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</si>
  <si>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</si>
  <si>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</si>
  <si>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</si>
  <si>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</si>
  <si>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</si>
  <si>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</si>
  <si>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</si>
  <si>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</si>
  <si>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</si>
  <si>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</si>
  <si>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</si>
  <si>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</si>
  <si>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</si>
  <si>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</si>
  <si>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</si>
  <si>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</si>
  <si>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</si>
  <si>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</si>
  <si>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</si>
  <si>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</si>
  <si>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</si>
  <si>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</si>
  <si>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</si>
  <si>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</si>
  <si>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</si>
  <si>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</si>
  <si>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</si>
  <si>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</si>
  <si>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</si>
  <si>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</si>
  <si>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</si>
  <si>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</si>
  <si>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</si>
  <si>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</si>
  <si>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</si>
  <si>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</si>
  <si>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</si>
  <si>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</si>
  <si>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</si>
  <si>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</si>
  <si>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</si>
  <si>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</si>
  <si>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</si>
  <si>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</si>
  <si>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</si>
  <si>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</si>
  <si>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</si>
  <si>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</si>
  <si>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</si>
  <si>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</si>
  <si>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</si>
  <si>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</si>
  <si>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</si>
  <si>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</si>
  <si>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</si>
  <si>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</si>
  <si>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</si>
  <si>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</si>
  <si>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</si>
  <si>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</si>
  <si>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</si>
  <si>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</si>
  <si>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</si>
  <si>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</si>
  <si>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</si>
  <si>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</si>
  <si>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</si>
  <si>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</si>
  <si>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</si>
  <si>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</si>
  <si>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</si>
  <si>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</si>
  <si>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</si>
  <si>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</si>
  <si>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</si>
  <si>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</si>
  <si>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</si>
  <si>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</si>
  <si>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</si>
  <si>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</si>
  <si>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</si>
  <si>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</si>
  <si>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</si>
  <si>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</si>
  <si>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</si>
  <si>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</si>
  <si>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</si>
  <si>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</si>
  <si>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</si>
  <si>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</si>
  <si>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</si>
  <si>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</si>
  <si>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</si>
  <si>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</si>
  <si>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</si>
  <si>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</si>
  <si>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</si>
  <si>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</si>
  <si>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</si>
  <si>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</si>
  <si>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307</t>
  </si>
  <si>
    <t>площадь дома</t>
  </si>
  <si>
    <t>с 01.12.2019, приказ №37 от 14.11.2019, протокол №1 от 04.11.2019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</si>
  <si>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</si>
  <si>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307 в части текущего ремонта</t>
  </si>
  <si>
    <t>с 01.12.2020, приказ №31 от 14.14.2020, протокол №2-2 от 28.11.2020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</si>
  <si>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</si>
  <si>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</si>
  <si>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</si>
  <si>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</si>
  <si>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</si>
  <si>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</si>
  <si>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</si>
  <si>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Работы по обеспечению пожарной безопасности и охрана ТП</t>
  </si>
  <si>
    <t>Техническое обслуживание охранной сигнализации</t>
  </si>
  <si>
    <t>снег в содержании</t>
  </si>
  <si>
    <t>снег, охрана, пожарка и лифты в содержании</t>
  </si>
  <si>
    <t>Вывоз снега с придомовой территории</t>
  </si>
  <si>
    <t>По мере необходимости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</si>
  <si>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</si>
  <si>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</si>
  <si>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</si>
  <si>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</si>
  <si>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</si>
  <si>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разово</t>
  </si>
  <si>
    <t>Ремонт повысительного насоса ХВС (восстановление рабочего колеса).</t>
  </si>
  <si>
    <t>Ремонт повысительного насоса ХВС (замена торцевого уплотнителя).</t>
  </si>
  <si>
    <t>Ремонт прибора учета тепловой энергии.</t>
  </si>
  <si>
    <t>АВР 1/24 от 14.10.2024, Решение, счет №44 от 24.04.2024, №33747 от 21.11.2023</t>
  </si>
  <si>
    <t>АВР 2/24 от 14.07.2024, счет №232 от 25.06.2024</t>
  </si>
  <si>
    <t>АВР 3/24 от 14.08.2024, счет №105 от09.08.2024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</si>
  <si>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</si>
  <si>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благоустройство придомовой территории в торце дома (чернозем, саженцы)</t>
  </si>
  <si>
    <t xml:space="preserve">  -  покраска металлического ограждения кровли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</si>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</sst>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3" fillId="0" borderId="0"/>
  </cellStyleXfs>
  <cellXfs count="188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5" applyFill="1" applyBorder="1" applyAlignment="1"/>
    <xf numFmtId="0" fontId="12" fillId="0" borderId="0" xfId="6" applyFill="1" applyBorder="1" applyAlignment="1">
      <alignment horizontal="center"/>
    </xf>
    <xf numFmtId="0" fontId="26" fillId="0" borderId="0" xfId="6" applyFont="1" applyFill="1" applyBorder="1" applyAlignment="1">
      <alignment horizontal="center"/>
    </xf>
    <xf numFmtId="4" fontId="26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1" fillId="0" borderId="0" xfId="2" applyFont="1" applyFill="1" applyBorder="1" applyAlignment="1"/>
    <xf numFmtId="0" fontId="0" fillId="0" borderId="0" xfId="0" applyFill="1"/>
    <xf numFmtId="4" fontId="26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1" fillId="0" borderId="0" xfId="6" applyFont="1" applyFill="1" applyBorder="1" applyAlignment="1">
      <alignment horizontal="center"/>
    </xf>
    <xf numFmtId="0" fontId="9" fillId="0" borderId="0" xfId="2" applyFont="1" applyFill="1" applyBorder="1" applyAlignment="1"/>
    <xf numFmtId="0" fontId="10" fillId="0" borderId="0" xfId="6" applyFont="1" applyFill="1" applyBorder="1" applyAlignment="1">
      <alignment horizontal="center"/>
    </xf>
    <xf numFmtId="0" fontId="0" fillId="0" borderId="0" xfId="0" applyFill="1" applyBorder="1"/>
    <xf numFmtId="0" fontId="36" fillId="0" borderId="0" xfId="5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36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4" fontId="12" fillId="0" borderId="0" xfId="6" applyNumberFormat="1" applyFill="1" applyBorder="1" applyAlignment="1"/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2" fillId="0" borderId="0" xfId="5" applyFill="1" applyBorder="1" applyAlignment="1">
      <alignment horizontal="center"/>
    </xf>
    <xf numFmtId="4" fontId="26" fillId="0" borderId="0" xfId="5" applyNumberFormat="1" applyFont="1" applyFill="1" applyBorder="1" applyAlignment="1"/>
    <xf numFmtId="4" fontId="26" fillId="0" borderId="0" xfId="5" applyNumberFormat="1" applyFont="1" applyFill="1" applyBorder="1" applyAlignment="1">
      <alignment horizontal="left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37" fillId="0" borderId="0" xfId="0" applyNumberFormat="1" applyFont="1" applyAlignment="1">
      <alignment vertical="center"/>
    </xf>
    <xf numFmtId="0" fontId="26" fillId="4" borderId="0" xfId="2" applyFon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" fillId="0" borderId="0" xfId="6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8"/>
    <cellStyle name="Обычный 2 5 2" xfId="9"/>
    <cellStyle name="Обычный 3" xfId="2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175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45292</v>
      </c>
      <c r="K4" s="109"/>
      <c r="L4" s="109"/>
      <c r="M4" s="109"/>
      <c r="N4" s="109"/>
    </row>
    <row r="5" spans="1:18">
      <c r="A5" s="1" t="s">
        <v>1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09"/>
      <c r="L8" s="175"/>
      <c r="M8" s="109"/>
      <c r="N8" s="109"/>
      <c r="O8" s="70" t="s">
        <v>81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09"/>
      <c r="L9" s="175"/>
      <c r="M9" s="109"/>
      <c r="N9" s="109"/>
      <c r="O9" s="70" t="s">
        <v>82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1008318.25</v>
      </c>
      <c r="K10" s="109"/>
      <c r="L10" s="175"/>
      <c r="M10" s="109"/>
      <c r="N10" s="109"/>
      <c r="O10" s="70" t="s">
        <v>83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1473476.08</v>
      </c>
      <c r="K11" s="109"/>
      <c r="L11" s="175"/>
      <c r="M11" s="109"/>
      <c r="N11" s="109"/>
      <c r="O11" s="70" t="s">
        <v>84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1103893.1200000001</v>
      </c>
      <c r="K12" s="109"/>
      <c r="L12" s="175"/>
      <c r="M12" s="109"/>
      <c r="N12" s="109"/>
      <c r="O12" s="70" t="s">
        <v>85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146558.76</v>
      </c>
      <c r="K13" s="109"/>
      <c r="L13" s="175"/>
      <c r="M13" s="109"/>
      <c r="N13" s="109"/>
      <c r="O13" s="70" t="s">
        <v>86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223024.2</v>
      </c>
      <c r="K14" s="109"/>
      <c r="L14" s="175"/>
      <c r="M14" s="109"/>
      <c r="N14" s="109"/>
      <c r="O14" s="70" t="s">
        <v>87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1458021.47</v>
      </c>
      <c r="K15" s="109"/>
      <c r="L15" s="175"/>
      <c r="M15" s="109"/>
      <c r="N15" s="109"/>
      <c r="O15" s="70" t="s">
        <v>88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1458021.47</v>
      </c>
      <c r="K16" s="109"/>
      <c r="L16" s="175"/>
      <c r="M16" s="109"/>
      <c r="N16" s="109"/>
      <c r="O16" s="70" t="s">
        <v>89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09"/>
      <c r="L17" s="175"/>
      <c r="M17" s="109"/>
      <c r="N17" s="109"/>
      <c r="O17" s="70" t="s">
        <v>90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09"/>
      <c r="L18" s="175"/>
      <c r="M18" s="109"/>
      <c r="N18" s="109"/>
      <c r="O18" s="70" t="s">
        <v>91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09"/>
      <c r="L19" s="175"/>
      <c r="M19" s="109"/>
      <c r="N19" s="109"/>
      <c r="O19" s="70" t="s">
        <v>92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09"/>
      <c r="L20" s="175"/>
      <c r="M20" s="109"/>
      <c r="N20" s="109"/>
      <c r="O20" s="70" t="s">
        <v>93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1458021.47</v>
      </c>
      <c r="K21" s="109"/>
      <c r="L21" s="175"/>
      <c r="M21" s="109"/>
      <c r="N21" s="109"/>
      <c r="O21" s="70" t="s">
        <v>94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09"/>
      <c r="L22" s="175"/>
      <c r="M22" s="109"/>
      <c r="N22" s="109"/>
      <c r="O22" s="70" t="s">
        <v>95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09"/>
      <c r="L23" s="175"/>
      <c r="M23" s="109"/>
      <c r="N23" s="109"/>
      <c r="O23" s="70" t="s">
        <v>96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1023772.8600000001</v>
      </c>
      <c r="K24" s="109"/>
      <c r="L24" s="17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7" t="s">
        <v>19</v>
      </c>
      <c r="B27" s="167"/>
      <c r="C27" s="167"/>
      <c r="D27" s="167"/>
      <c r="E27" s="167"/>
      <c r="F27" s="167" t="s">
        <v>20</v>
      </c>
      <c r="G27" s="167"/>
      <c r="H27" s="5" t="s">
        <v>57</v>
      </c>
      <c r="I27" s="167" t="s">
        <v>21</v>
      </c>
      <c r="J27" s="167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4">
        <f>VLOOKUP(A28,ПТО!$A$39:$D$53,2,FALSE)</f>
        <v>288657.03600000008</v>
      </c>
      <c r="G28" s="164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9" t="str">
        <f>ПТО!A40</f>
        <v>Работы по содержанию лифта (лифтов)</v>
      </c>
      <c r="B29" s="159"/>
      <c r="C29" s="159"/>
      <c r="D29" s="159"/>
      <c r="E29" s="159"/>
      <c r="F29" s="164">
        <f>VLOOKUP(A29,ПТО!$A$39:$D$53,2,FALSE)</f>
        <v>184791.48</v>
      </c>
      <c r="G29" s="164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9"/>
      <c r="L29" s="17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4">
        <f>VLOOKUP(A30,ПТО!$A$39:$D$53,2,FALSE)</f>
        <v>115335.37200000002</v>
      </c>
      <c r="G30" s="164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4">
        <f>VLOOKUP(A31,ПТО!$A$39:$D$53,2,FALSE)</f>
        <v>87935.255999999994</v>
      </c>
      <c r="G31" s="164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4">
        <f>VLOOKUP(A33,ПТО!$A$39:$D$53,2,FALSE)</f>
        <v>63721.2</v>
      </c>
      <c r="G33" s="164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4">
        <f>VLOOKUP(A34,ПТО!$A$39:$D$53,2,FALSE)</f>
        <v>179693.78399999999</v>
      </c>
      <c r="G34" s="164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9" t="str">
        <f>ПТО!A46</f>
        <v>Работы по обеспечению пожарной безопасности и охрана ТП</v>
      </c>
      <c r="B35" s="159"/>
      <c r="C35" s="159"/>
      <c r="D35" s="159"/>
      <c r="E35" s="159"/>
      <c r="F35" s="164">
        <f>VLOOKUP(A35,ПТО!$A$39:$D$53,2,FALSE)</f>
        <v>24426.46</v>
      </c>
      <c r="G35" s="164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09"/>
      <c r="L35" s="176"/>
      <c r="M35" s="115"/>
      <c r="N35" s="109"/>
      <c r="O35" s="23" t="str">
        <f t="shared" si="1"/>
        <v>Работы по обеспечению пожарной безопасности и охрана ТП</v>
      </c>
      <c r="R35" s="1" t="s">
        <v>71</v>
      </c>
    </row>
    <row r="36" spans="1:18" ht="51" customHeight="1" outlineLevel="1">
      <c r="A36" s="159" t="str">
        <f>ПТО!A47</f>
        <v>Техническое обслуживание охранной сигнализации</v>
      </c>
      <c r="B36" s="159"/>
      <c r="C36" s="159"/>
      <c r="D36" s="159"/>
      <c r="E36" s="159"/>
      <c r="F36" s="164">
        <f>VLOOKUP(A36,ПТО!$A$39:$D$53,2,FALSE)</f>
        <v>38232.720000000001</v>
      </c>
      <c r="G36" s="164"/>
      <c r="H36" s="42" t="str">
        <f>VLOOKUP(A36,ПТО!$A$39:$D$53,3,FALSE)</f>
        <v>Ежемесячно</v>
      </c>
      <c r="I36" s="160">
        <f>VLOOKUP(A36,ПТО!$A$39:$D$53,4,FALSE)</f>
        <v>12</v>
      </c>
      <c r="J36" s="160"/>
      <c r="K36" s="109"/>
      <c r="L36" s="176"/>
      <c r="M36" s="115"/>
      <c r="N36" s="109"/>
      <c r="O36" s="23" t="str">
        <f t="shared" si="1"/>
        <v>Техническое обслуживание охранной сигнализации</v>
      </c>
      <c r="R36" s="1" t="s">
        <v>71</v>
      </c>
    </row>
    <row r="37" spans="1:18" ht="51" customHeight="1" outlineLevel="1">
      <c r="A37" s="159" t="str">
        <f>ПТО!A48</f>
        <v>Вывоз снега с придомовой территории</v>
      </c>
      <c r="B37" s="159"/>
      <c r="C37" s="159"/>
      <c r="D37" s="159"/>
      <c r="E37" s="159"/>
      <c r="F37" s="164">
        <f>VLOOKUP(A37,ПТО!$A$39:$D$53,2,FALSE)</f>
        <v>37504.32</v>
      </c>
      <c r="G37" s="164"/>
      <c r="H37" s="42" t="str">
        <f>VLOOKUP(A37,ПТО!$A$39:$D$53,3,FALSE)</f>
        <v>По мере необходимости</v>
      </c>
      <c r="I37" s="160">
        <f>VLOOKUP(A37,ПТО!$A$39:$D$53,4,FALSE)</f>
        <v>2</v>
      </c>
      <c r="J37" s="160"/>
      <c r="K37" s="109"/>
      <c r="L37" s="176"/>
      <c r="M37" s="115"/>
      <c r="N37" s="109"/>
      <c r="O37" s="23" t="str">
        <f t="shared" si="1"/>
        <v>Вывоз снега с придомовой территории</v>
      </c>
      <c r="R37" s="1" t="s">
        <v>71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9"/>
      <c r="L38" s="17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9"/>
      <c r="L39" s="17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9"/>
      <c r="L40" s="17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9"/>
      <c r="L41" s="17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9"/>
      <c r="L42" s="17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9" t="str">
        <f>ПТО!A2</f>
        <v>Ремонт повысительного насоса ХВС (замена торцевого уплотнителя).</v>
      </c>
      <c r="B43" s="159"/>
      <c r="C43" s="159"/>
      <c r="D43" s="159"/>
      <c r="E43" s="159"/>
      <c r="F43" s="164">
        <f>VLOOKUP(A43,ПТО!$A$2:$D$31,4,FALSE)</f>
        <v>1995.7</v>
      </c>
      <c r="G43" s="164"/>
      <c r="H43" s="19" t="str">
        <f>VLOOKUP(A43,ПТО!$A$2:$D$31,2,FALSE)</f>
        <v>разово</v>
      </c>
      <c r="I43" s="160">
        <f>VLOOKUP(A43,ПТО!$A$2:$D$31,3,FALSE)</f>
        <v>1</v>
      </c>
      <c r="J43" s="160"/>
      <c r="K43" s="109"/>
      <c r="L43" s="176"/>
      <c r="M43" s="115"/>
      <c r="N43" s="109"/>
      <c r="O43" s="23" t="str">
        <f t="shared" si="1"/>
        <v>Ремонт повысительного насоса ХВС (замена торцевого уплотнителя).</v>
      </c>
      <c r="R43" s="22" t="s">
        <v>72</v>
      </c>
    </row>
    <row r="44" spans="1:18" ht="51" customHeight="1" outlineLevel="1">
      <c r="A44" s="159" t="str">
        <f>ПТО!A3</f>
        <v>Ремонт прибора учета тепловой энергии.</v>
      </c>
      <c r="B44" s="159"/>
      <c r="C44" s="159"/>
      <c r="D44" s="159"/>
      <c r="E44" s="159"/>
      <c r="F44" s="164">
        <f>VLOOKUP(A44,ПТО!$A$2:$D$31,4,FALSE)</f>
        <v>2824</v>
      </c>
      <c r="G44" s="164"/>
      <c r="H44" s="25" t="str">
        <f>VLOOKUP(A44,ПТО!$A$2:$D$31,2,FALSE)</f>
        <v>разово</v>
      </c>
      <c r="I44" s="160">
        <f>VLOOKUP(A44,ПТО!$A$2:$D$31,3,FALSE)</f>
        <v>1</v>
      </c>
      <c r="J44" s="160"/>
      <c r="K44" s="109"/>
      <c r="L44" s="176"/>
      <c r="M44" s="115"/>
      <c r="N44" s="109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59" t="str">
        <f>ПТО!A4</f>
        <v>Ремонт повысительного насоса ХВС (восстановление рабочего колеса).</v>
      </c>
      <c r="B45" s="159"/>
      <c r="C45" s="159"/>
      <c r="D45" s="159"/>
      <c r="E45" s="159"/>
      <c r="F45" s="164">
        <f>VLOOKUP(A45,ПТО!$A$2:$D$31,4,FALSE)</f>
        <v>3098.9</v>
      </c>
      <c r="G45" s="164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9"/>
      <c r="L45" s="176"/>
      <c r="M45" s="115"/>
      <c r="N45" s="109"/>
      <c r="O45" s="23" t="str">
        <f t="shared" si="1"/>
        <v>Ремонт повысительного насоса ХВС (восстановление рабочего колеса).</v>
      </c>
      <c r="R45" s="22" t="s">
        <v>72</v>
      </c>
    </row>
    <row r="46" spans="1:18" ht="51" hidden="1" customHeight="1" outlineLevel="1">
      <c r="A46" s="159">
        <f>ПТО!A5</f>
        <v>0</v>
      </c>
      <c r="B46" s="159"/>
      <c r="C46" s="159"/>
      <c r="D46" s="159"/>
      <c r="E46" s="159"/>
      <c r="F46" s="164" t="e">
        <f>VLOOKUP(A46,ПТО!$A$2:$D$31,4,FALSE)</f>
        <v>#N/A</v>
      </c>
      <c r="G46" s="164"/>
      <c r="H46" s="25" t="e">
        <f>VLOOKUP(A46,ПТО!$A$2:$D$31,2,FALSE)</f>
        <v>#N/A</v>
      </c>
      <c r="I46" s="160" t="e">
        <f>VLOOKUP(A46,ПТО!$A$2:$D$31,3,FALSE)</f>
        <v>#N/A</v>
      </c>
      <c r="J46" s="160"/>
      <c r="K46" s="109"/>
      <c r="L46" s="176"/>
      <c r="M46" s="115"/>
      <c r="N46" s="109"/>
      <c r="O46" s="23">
        <f t="shared" si="1"/>
        <v>0</v>
      </c>
      <c r="R46" s="22" t="s">
        <v>72</v>
      </c>
    </row>
    <row r="47" spans="1:18" ht="51" hidden="1" customHeight="1" outlineLevel="1">
      <c r="A47" s="159">
        <f>ПТО!A6</f>
        <v>0</v>
      </c>
      <c r="B47" s="159"/>
      <c r="C47" s="159"/>
      <c r="D47" s="159"/>
      <c r="E47" s="159"/>
      <c r="F47" s="164" t="e">
        <f>VLOOKUP(A47,ПТО!$A$2:$D$31,4,FALSE)</f>
        <v>#N/A</v>
      </c>
      <c r="G47" s="164"/>
      <c r="H47" s="25" t="e">
        <f>VLOOKUP(A47,ПТО!$A$2:$D$31,2,FALSE)</f>
        <v>#N/A</v>
      </c>
      <c r="I47" s="160" t="e">
        <f>VLOOKUP(A47,ПТО!$A$2:$D$31,3,FALSE)</f>
        <v>#N/A</v>
      </c>
      <c r="J47" s="160"/>
      <c r="K47" s="109"/>
      <c r="L47" s="176"/>
      <c r="M47" s="115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59">
        <f>ПТО!A7</f>
        <v>0</v>
      </c>
      <c r="B48" s="159"/>
      <c r="C48" s="159"/>
      <c r="D48" s="159"/>
      <c r="E48" s="159"/>
      <c r="F48" s="164" t="e">
        <f>VLOOKUP(A48,ПТО!$A$2:$D$31,4,FALSE)</f>
        <v>#N/A</v>
      </c>
      <c r="G48" s="164"/>
      <c r="H48" s="25" t="e">
        <f>VLOOKUP(A48,ПТО!$A$2:$D$31,2,FALSE)</f>
        <v>#N/A</v>
      </c>
      <c r="I48" s="160" t="e">
        <f>VLOOKUP(A48,ПТО!$A$2:$D$31,3,FALSE)</f>
        <v>#N/A</v>
      </c>
      <c r="J48" s="160"/>
      <c r="K48" s="109"/>
      <c r="L48" s="176"/>
      <c r="M48" s="115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59">
        <f>ПТО!A8</f>
        <v>0</v>
      </c>
      <c r="B49" s="159"/>
      <c r="C49" s="159"/>
      <c r="D49" s="159"/>
      <c r="E49" s="159"/>
      <c r="F49" s="164" t="e">
        <f>VLOOKUP(A49,ПТО!$A$2:$D$31,4,FALSE)</f>
        <v>#N/A</v>
      </c>
      <c r="G49" s="164"/>
      <c r="H49" s="25" t="e">
        <f>VLOOKUP(A49,ПТО!$A$2:$D$31,2,FALSE)</f>
        <v>#N/A</v>
      </c>
      <c r="I49" s="160" t="e">
        <f>VLOOKUP(A49,ПТО!$A$2:$D$31,3,FALSE)</f>
        <v>#N/A</v>
      </c>
      <c r="J49" s="160"/>
      <c r="K49" s="109"/>
      <c r="L49" s="176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9">
        <f>ПТО!A9</f>
        <v>0</v>
      </c>
      <c r="B50" s="159"/>
      <c r="C50" s="159"/>
      <c r="D50" s="159"/>
      <c r="E50" s="159"/>
      <c r="F50" s="164" t="e">
        <f>VLOOKUP(A50,ПТО!$A$2:$D$31,4,FALSE)</f>
        <v>#N/A</v>
      </c>
      <c r="G50" s="164"/>
      <c r="H50" s="25" t="e">
        <f>VLOOKUP(A50,ПТО!$A$2:$D$31,2,FALSE)</f>
        <v>#N/A</v>
      </c>
      <c r="I50" s="160" t="e">
        <f>VLOOKUP(A50,ПТО!$A$2:$D$31,3,FALSE)</f>
        <v>#N/A</v>
      </c>
      <c r="J50" s="160"/>
      <c r="K50" s="109"/>
      <c r="L50" s="176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9">
        <f>ПТО!A10</f>
        <v>0</v>
      </c>
      <c r="B51" s="159"/>
      <c r="C51" s="159"/>
      <c r="D51" s="159"/>
      <c r="E51" s="159"/>
      <c r="F51" s="164" t="e">
        <f>VLOOKUP(A51,ПТО!$A$2:$D$31,4,FALSE)</f>
        <v>#N/A</v>
      </c>
      <c r="G51" s="164"/>
      <c r="H51" s="25" t="e">
        <f>VLOOKUP(A51,ПТО!$A$2:$D$31,2,FALSE)</f>
        <v>#N/A</v>
      </c>
      <c r="I51" s="160" t="e">
        <f>VLOOKUP(A51,ПТО!$A$2:$D$31,3,FALSE)</f>
        <v>#N/A</v>
      </c>
      <c r="J51" s="160"/>
      <c r="K51" s="109"/>
      <c r="L51" s="176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9">
        <f>ПТО!A11</f>
        <v>0</v>
      </c>
      <c r="B52" s="159"/>
      <c r="C52" s="159"/>
      <c r="D52" s="159"/>
      <c r="E52" s="159"/>
      <c r="F52" s="164" t="e">
        <f>VLOOKUP(A52,ПТО!$A$2:$D$31,4,FALSE)</f>
        <v>#N/A</v>
      </c>
      <c r="G52" s="164"/>
      <c r="H52" s="25" t="e">
        <f>VLOOKUP(A52,ПТО!$A$2:$D$31,2,FALSE)</f>
        <v>#N/A</v>
      </c>
      <c r="I52" s="160" t="e">
        <f>VLOOKUP(A52,ПТО!$A$2:$D$31,3,FALSE)</f>
        <v>#N/A</v>
      </c>
      <c r="J52" s="160"/>
      <c r="K52" s="109"/>
      <c r="L52" s="176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9">
        <f>ПТО!A12</f>
        <v>0</v>
      </c>
      <c r="B53" s="159"/>
      <c r="C53" s="159"/>
      <c r="D53" s="159"/>
      <c r="E53" s="159"/>
      <c r="F53" s="164" t="e">
        <f>VLOOKUP(A53,ПТО!$A$2:$D$31,4,FALSE)</f>
        <v>#N/A</v>
      </c>
      <c r="G53" s="164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09"/>
      <c r="L53" s="17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4" t="e">
        <f>VLOOKUP(A54,ПТО!$A$2:$D$31,4,FALSE)</f>
        <v>#N/A</v>
      </c>
      <c r="G54" s="164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9"/>
      <c r="L54" s="17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4" t="e">
        <f>VLOOKUP(A55,ПТО!$A$2:$D$31,4,FALSE)</f>
        <v>#N/A</v>
      </c>
      <c r="G55" s="164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9"/>
      <c r="L55" s="17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9"/>
      <c r="L56" s="17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9"/>
      <c r="L57" s="17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9"/>
      <c r="L58" s="17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9"/>
      <c r="L59" s="17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9"/>
      <c r="L60" s="17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9"/>
      <c r="L61" s="17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9"/>
      <c r="L62" s="17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9"/>
      <c r="L63" s="17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9"/>
      <c r="L64" s="17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9"/>
      <c r="L65" s="17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9"/>
      <c r="L66" s="17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9"/>
      <c r="L67" s="17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9"/>
      <c r="L68" s="17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9"/>
      <c r="L69" s="17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9"/>
      <c r="L70" s="17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5"/>
      <c r="L71" s="17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9"/>
      <c r="L72" s="17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7" t="s">
        <v>27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9"/>
      <c r="L75" s="179"/>
      <c r="M75" s="109"/>
      <c r="N75" s="109"/>
      <c r="O75" s="70" t="s">
        <v>98</v>
      </c>
    </row>
    <row r="76" spans="1:16384" ht="18.75" customHeight="1" outlineLevel="1">
      <c r="A76" s="177" t="s">
        <v>28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9"/>
      <c r="L76" s="179"/>
      <c r="M76" s="109"/>
      <c r="N76" s="109"/>
      <c r="O76" s="70" t="s">
        <v>99</v>
      </c>
    </row>
    <row r="77" spans="1:16384" ht="21.75" customHeight="1" outlineLevel="1">
      <c r="A77" s="177" t="s">
        <v>29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9"/>
      <c r="L77" s="179"/>
      <c r="M77" s="109"/>
      <c r="N77" s="109"/>
      <c r="O77" s="70" t="s">
        <v>100</v>
      </c>
    </row>
    <row r="78" spans="1:16384" ht="18.75" customHeight="1" outlineLevel="1">
      <c r="A78" s="177" t="s">
        <v>30</v>
      </c>
      <c r="B78" s="177"/>
      <c r="C78" s="177"/>
      <c r="D78" s="177"/>
      <c r="E78" s="177"/>
      <c r="F78" s="177"/>
      <c r="G78" s="177"/>
      <c r="H78" s="177"/>
      <c r="I78" s="177"/>
      <c r="J78" s="97">
        <f>VLOOKUP(O78,АО,3,FALSE)</f>
        <v>0</v>
      </c>
      <c r="K78" s="109"/>
      <c r="L78" s="179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7">
        <f t="shared" ref="J81:J90" si="2">VLOOKUP(O81,АО,3,FALSE)</f>
        <v>0</v>
      </c>
      <c r="K81" s="109"/>
      <c r="L81" s="165"/>
      <c r="M81" s="109"/>
      <c r="N81" s="109"/>
      <c r="O81" s="70" t="s">
        <v>102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7">
        <f t="shared" si="2"/>
        <v>0</v>
      </c>
      <c r="K82" s="109"/>
      <c r="L82" s="165"/>
      <c r="M82" s="109"/>
      <c r="N82" s="109"/>
      <c r="O82" s="70" t="s">
        <v>103</v>
      </c>
    </row>
    <row r="83" spans="1:15" outlineLevel="1">
      <c r="A83" s="171" t="s">
        <v>4</v>
      </c>
      <c r="B83" s="172"/>
      <c r="C83" s="172"/>
      <c r="D83" s="172"/>
      <c r="E83" s="172"/>
      <c r="F83" s="172"/>
      <c r="G83" s="172"/>
      <c r="H83" s="172"/>
      <c r="I83" s="173"/>
      <c r="J83" s="97">
        <f t="shared" si="2"/>
        <v>75950.91</v>
      </c>
      <c r="K83" s="109"/>
      <c r="L83" s="165"/>
      <c r="M83" s="109"/>
      <c r="N83" s="109"/>
      <c r="O83" s="70" t="s">
        <v>104</v>
      </c>
    </row>
    <row r="84" spans="1:15" outlineLevel="1">
      <c r="A84" s="171" t="s">
        <v>16</v>
      </c>
      <c r="B84" s="172"/>
      <c r="C84" s="172"/>
      <c r="D84" s="172"/>
      <c r="E84" s="172"/>
      <c r="F84" s="172"/>
      <c r="G84" s="172"/>
      <c r="H84" s="172"/>
      <c r="I84" s="173"/>
      <c r="J84" s="97">
        <f t="shared" si="2"/>
        <v>0</v>
      </c>
      <c r="K84" s="109"/>
      <c r="L84" s="165"/>
      <c r="M84" s="109"/>
      <c r="N84" s="109"/>
      <c r="O84" s="70" t="s">
        <v>105</v>
      </c>
    </row>
    <row r="85" spans="1:15" outlineLevel="1">
      <c r="A85" s="171" t="s">
        <v>17</v>
      </c>
      <c r="B85" s="172"/>
      <c r="C85" s="172"/>
      <c r="D85" s="172"/>
      <c r="E85" s="172"/>
      <c r="F85" s="172"/>
      <c r="G85" s="172"/>
      <c r="H85" s="172"/>
      <c r="I85" s="173"/>
      <c r="J85" s="97">
        <f t="shared" si="2"/>
        <v>0</v>
      </c>
      <c r="K85" s="109"/>
      <c r="L85" s="165"/>
      <c r="M85" s="109"/>
      <c r="N85" s="109"/>
      <c r="O85" s="70" t="s">
        <v>106</v>
      </c>
    </row>
    <row r="86" spans="1:15" outlineLevel="1">
      <c r="A86" s="171" t="s">
        <v>18</v>
      </c>
      <c r="B86" s="172"/>
      <c r="C86" s="172"/>
      <c r="D86" s="172"/>
      <c r="E86" s="172"/>
      <c r="F86" s="172"/>
      <c r="G86" s="172"/>
      <c r="H86" s="172"/>
      <c r="I86" s="173"/>
      <c r="J86" s="97">
        <f t="shared" si="2"/>
        <v>55980.930000000131</v>
      </c>
      <c r="K86" s="109"/>
      <c r="L86" s="165"/>
      <c r="M86" s="109"/>
      <c r="N86" s="109"/>
      <c r="O86" s="70" t="s">
        <v>107</v>
      </c>
    </row>
    <row r="87" spans="1:15" ht="18.75" customHeight="1" outlineLevel="1">
      <c r="A87" s="171" t="s">
        <v>27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09"/>
      <c r="L87" s="165"/>
      <c r="M87" s="109"/>
      <c r="N87" s="109"/>
      <c r="O87" s="70" t="s">
        <v>108</v>
      </c>
    </row>
    <row r="88" spans="1:15" ht="18.75" customHeight="1" outlineLevel="1">
      <c r="A88" s="171" t="s">
        <v>28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09"/>
      <c r="L88" s="165"/>
      <c r="M88" s="109"/>
      <c r="N88" s="109"/>
      <c r="O88" s="70" t="s">
        <v>109</v>
      </c>
    </row>
    <row r="89" spans="1:15" ht="18.75" customHeight="1" outlineLevel="1">
      <c r="A89" s="171" t="s">
        <v>29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09"/>
      <c r="L89" s="165"/>
      <c r="M89" s="109"/>
      <c r="N89" s="109"/>
      <c r="O89" s="70" t="s">
        <v>110</v>
      </c>
    </row>
    <row r="90" spans="1:15" ht="18.75" customHeight="1" outlineLevel="1">
      <c r="A90" s="171" t="s">
        <v>30</v>
      </c>
      <c r="B90" s="172"/>
      <c r="C90" s="172"/>
      <c r="D90" s="172"/>
      <c r="E90" s="172"/>
      <c r="F90" s="172"/>
      <c r="G90" s="172"/>
      <c r="H90" s="172"/>
      <c r="I90" s="173"/>
      <c r="J90" s="97">
        <f t="shared" si="2"/>
        <v>0</v>
      </c>
      <c r="K90" s="109"/>
      <c r="L90" s="16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0" t="s">
        <v>48</v>
      </c>
      <c r="B93" s="180"/>
      <c r="C93" s="180"/>
      <c r="D93" s="181" t="s">
        <v>49</v>
      </c>
      <c r="E93" s="181"/>
      <c r="F93" s="10" t="s">
        <v>50</v>
      </c>
      <c r="G93" s="180" t="s">
        <v>51</v>
      </c>
      <c r="H93" s="180"/>
      <c r="I93" s="180"/>
      <c r="J93" s="180"/>
      <c r="K93" s="109"/>
      <c r="L93" s="109"/>
      <c r="M93" s="109"/>
      <c r="N93" s="109"/>
    </row>
    <row r="94" spans="1:15" hidden="1" outlineLevel="1">
      <c r="A94" s="161">
        <f>IF(VLOOKUP("эл",АО,3,FALSE)&gt;0,"Электроснабжение",0)</f>
        <v>0</v>
      </c>
      <c r="B94" s="161"/>
      <c r="C94" s="161"/>
      <c r="D94" s="162">
        <f>IF(VLOOKUP("эл",АО,3,FALSE)&gt;0,VLOOKUP("эл",АО,3,FALSE),0)</f>
        <v>0</v>
      </c>
      <c r="E94" s="162"/>
      <c r="F94" s="13">
        <f>IF(VLOOKUP("эл",АО,3,FALSE)&gt;0,VLOOKUP("эл",АО,4,FALSE),0)</f>
        <v>0</v>
      </c>
      <c r="G94" s="163">
        <f>VLOOKUP("эл",АО,5,FALSE)</f>
        <v>0</v>
      </c>
      <c r="H94" s="162"/>
      <c r="I94" s="162"/>
      <c r="J94" s="162"/>
      <c r="K94" s="1" t="str">
        <f>VLOOKUP("эл",АО,2,FALSE)</f>
        <v>Электроснабжение</v>
      </c>
      <c r="L94" s="166"/>
    </row>
    <row r="95" spans="1:15" hidden="1" outlineLevel="2">
      <c r="A95" s="178">
        <f>IF(VLOOKUP("эл",АО,3,FALSE)&gt;0,VLOOKUP("эл1",АО,2,FALSE),0)</f>
        <v>0</v>
      </c>
      <c r="B95" s="178"/>
      <c r="C95" s="178"/>
      <c r="D95" s="178"/>
      <c r="E95" s="178"/>
      <c r="F95" s="178"/>
      <c r="G95" s="178"/>
      <c r="H95" s="178"/>
      <c r="I95" s="178"/>
      <c r="J95" s="18">
        <f t="shared" ref="J95:J101" si="3">VLOOKUP(O95,АО,3,FALSE)</f>
        <v>0</v>
      </c>
      <c r="L95" s="166"/>
      <c r="O95" s="1" t="s">
        <v>112</v>
      </c>
    </row>
    <row r="96" spans="1:15" hidden="1" outlineLevel="2">
      <c r="A96" s="178">
        <f>IF(VLOOKUP("эл",АО,3,FALSE)&gt;0,VLOOKUP("эл2",АО,2,FALSE),0)</f>
        <v>0</v>
      </c>
      <c r="B96" s="178"/>
      <c r="C96" s="178"/>
      <c r="D96" s="178"/>
      <c r="E96" s="178"/>
      <c r="F96" s="178"/>
      <c r="G96" s="178"/>
      <c r="H96" s="178"/>
      <c r="I96" s="178"/>
      <c r="J96" s="18">
        <f t="shared" si="3"/>
        <v>0</v>
      </c>
      <c r="L96" s="166"/>
      <c r="O96" s="1" t="s">
        <v>113</v>
      </c>
    </row>
    <row r="97" spans="1:15" hidden="1" outlineLevel="2">
      <c r="A97" s="178">
        <f>IF(VLOOKUP("эл",АО,3,FALSE)&gt;0,VLOOKUP("эл3",АО,2,FALSE),0)</f>
        <v>0</v>
      </c>
      <c r="B97" s="178"/>
      <c r="C97" s="178"/>
      <c r="D97" s="178"/>
      <c r="E97" s="178"/>
      <c r="F97" s="178"/>
      <c r="G97" s="178"/>
      <c r="H97" s="178"/>
      <c r="I97" s="178"/>
      <c r="J97" s="18">
        <f t="shared" si="3"/>
        <v>0</v>
      </c>
      <c r="L97" s="166"/>
      <c r="O97" s="1" t="s">
        <v>114</v>
      </c>
    </row>
    <row r="98" spans="1:15" ht="37.5" hidden="1" customHeight="1" outlineLevel="2">
      <c r="A98" s="178">
        <f>IF(VLOOKUP("эл",АО,3,FALSE)&gt;0,VLOOKUP("эл4",АО,2,FALSE),0)</f>
        <v>0</v>
      </c>
      <c r="B98" s="178"/>
      <c r="C98" s="178"/>
      <c r="D98" s="178"/>
      <c r="E98" s="178"/>
      <c r="F98" s="178"/>
      <c r="G98" s="178"/>
      <c r="H98" s="178"/>
      <c r="I98" s="178"/>
      <c r="J98" s="18">
        <f t="shared" si="3"/>
        <v>0</v>
      </c>
      <c r="L98" s="166"/>
      <c r="O98" s="1" t="s">
        <v>115</v>
      </c>
    </row>
    <row r="99" spans="1:15" hidden="1" outlineLevel="2">
      <c r="A99" s="178">
        <f>IF(VLOOKUP("эл",АО,3,FALSE)&gt;0,VLOOKUP("эл5",АО,2,FALSE),0)</f>
        <v>0</v>
      </c>
      <c r="B99" s="178"/>
      <c r="C99" s="178"/>
      <c r="D99" s="178"/>
      <c r="E99" s="178"/>
      <c r="F99" s="178"/>
      <c r="G99" s="178"/>
      <c r="H99" s="178"/>
      <c r="I99" s="178"/>
      <c r="J99" s="18">
        <f t="shared" si="3"/>
        <v>0</v>
      </c>
      <c r="L99" s="166"/>
      <c r="O99" s="1" t="s">
        <v>116</v>
      </c>
    </row>
    <row r="100" spans="1:15" ht="39" hidden="1" customHeight="1" outlineLevel="2">
      <c r="A100" s="178">
        <f>IF(VLOOKUP("эл",АО,3,FALSE)&gt;0,VLOOKUP("эл6",АО,2,FALSE),0)</f>
        <v>0</v>
      </c>
      <c r="B100" s="178"/>
      <c r="C100" s="178"/>
      <c r="D100" s="178"/>
      <c r="E100" s="178"/>
      <c r="F100" s="178"/>
      <c r="G100" s="178"/>
      <c r="H100" s="178"/>
      <c r="I100" s="178"/>
      <c r="J100" s="18">
        <f t="shared" si="3"/>
        <v>0</v>
      </c>
      <c r="L100" s="166"/>
      <c r="O100" s="1" t="s">
        <v>117</v>
      </c>
    </row>
    <row r="101" spans="1:15" ht="34.5" hidden="1" customHeight="1" outlineLevel="2">
      <c r="A101" s="178">
        <f>IF(VLOOKUP("эл",АО,3,FALSE)&gt;0,VLOOKUP("эл7",АО,2,FALSE),0)</f>
        <v>0</v>
      </c>
      <c r="B101" s="178"/>
      <c r="C101" s="178"/>
      <c r="D101" s="178"/>
      <c r="E101" s="178"/>
      <c r="F101" s="178"/>
      <c r="G101" s="178"/>
      <c r="H101" s="178"/>
      <c r="I101" s="178"/>
      <c r="J101" s="18">
        <f t="shared" si="3"/>
        <v>0</v>
      </c>
      <c r="L101" s="166"/>
      <c r="O101" s="1" t="s">
        <v>118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3">
        <f>VLOOKUP("хвс",АО,5,FALSE)</f>
        <v>244919.25</v>
      </c>
      <c r="H102" s="162"/>
      <c r="I102" s="162"/>
      <c r="J102" s="162"/>
      <c r="L102" s="166"/>
    </row>
    <row r="103" spans="1:15" outlineLevel="2">
      <c r="A103" s="178" t="str">
        <f t="shared" ref="A103:A109" si="4">IF(VLOOKUP("хвс",АО,3,FALSE)&gt;0,VLOOKUP(O103,АО,2,FALSE),0)</f>
        <v>Общий объем потребления, нат. показ.</v>
      </c>
      <c r="B103" s="178"/>
      <c r="C103" s="178"/>
      <c r="D103" s="178"/>
      <c r="E103" s="178"/>
      <c r="F103" s="178"/>
      <c r="G103" s="178"/>
      <c r="H103" s="178"/>
      <c r="I103" s="178"/>
      <c r="J103" s="18">
        <f t="shared" ref="J103:J109" si="5">VLOOKUP(O103,АО,3,FALSE)</f>
        <v>15355.438871473354</v>
      </c>
      <c r="L103" s="166"/>
      <c r="O103" s="1" t="s">
        <v>121</v>
      </c>
    </row>
    <row r="104" spans="1:15" ht="18.75" customHeight="1" outlineLevel="2">
      <c r="A104" s="178" t="str">
        <f t="shared" si="4"/>
        <v>Оплачено потребителями, руб.</v>
      </c>
      <c r="B104" s="178"/>
      <c r="C104" s="178"/>
      <c r="D104" s="178"/>
      <c r="E104" s="178"/>
      <c r="F104" s="178"/>
      <c r="G104" s="178"/>
      <c r="H104" s="178"/>
      <c r="I104" s="178"/>
      <c r="J104" s="18">
        <f t="shared" si="5"/>
        <v>254149.72</v>
      </c>
      <c r="L104" s="166"/>
      <c r="O104" s="1" t="s">
        <v>122</v>
      </c>
    </row>
    <row r="105" spans="1:15" ht="18.75" customHeight="1" outlineLevel="2">
      <c r="A105" s="178" t="str">
        <f t="shared" si="4"/>
        <v>Задолженность потребителей, руб.</v>
      </c>
      <c r="B105" s="178"/>
      <c r="C105" s="178"/>
      <c r="D105" s="178"/>
      <c r="E105" s="178"/>
      <c r="F105" s="178"/>
      <c r="G105" s="178"/>
      <c r="H105" s="178"/>
      <c r="I105" s="178"/>
      <c r="J105" s="18">
        <f t="shared" si="5"/>
        <v>0</v>
      </c>
      <c r="L105" s="166"/>
      <c r="O105" s="1" t="s">
        <v>123</v>
      </c>
    </row>
    <row r="106" spans="1:15" ht="36.75" customHeight="1" outlineLevel="2">
      <c r="A106" s="178" t="str">
        <f t="shared" si="4"/>
        <v>Начислено поставщиком (поставщиками) коммунального ресурса, руб.</v>
      </c>
      <c r="B106" s="178"/>
      <c r="C106" s="178"/>
      <c r="D106" s="178"/>
      <c r="E106" s="178"/>
      <c r="F106" s="178"/>
      <c r="G106" s="178"/>
      <c r="H106" s="178"/>
      <c r="I106" s="178"/>
      <c r="J106" s="18">
        <f t="shared" si="5"/>
        <v>244919.25</v>
      </c>
      <c r="L106" s="166"/>
      <c r="O106" s="1" t="s">
        <v>124</v>
      </c>
    </row>
    <row r="107" spans="1:15" ht="18.75" customHeight="1" outlineLevel="2">
      <c r="A107" s="178" t="str">
        <f t="shared" si="4"/>
        <v>Оплачено поставщику (поставщикам) коммунального ресурса, руб.</v>
      </c>
      <c r="B107" s="178"/>
      <c r="C107" s="178"/>
      <c r="D107" s="178"/>
      <c r="E107" s="178"/>
      <c r="F107" s="178"/>
      <c r="G107" s="178"/>
      <c r="H107" s="178"/>
      <c r="I107" s="178"/>
      <c r="J107" s="18">
        <f t="shared" si="5"/>
        <v>244919.25</v>
      </c>
      <c r="L107" s="166"/>
      <c r="O107" s="1" t="s">
        <v>125</v>
      </c>
    </row>
    <row r="108" spans="1:15" ht="37.5" customHeight="1" outlineLevel="2">
      <c r="A108" s="178" t="str">
        <f t="shared" si="4"/>
        <v>Задолженность перед поставщиком (поставщиками) коммунального ресурса, руб.</v>
      </c>
      <c r="B108" s="178"/>
      <c r="C108" s="178"/>
      <c r="D108" s="178"/>
      <c r="E108" s="178"/>
      <c r="F108" s="178"/>
      <c r="G108" s="178"/>
      <c r="H108" s="178"/>
      <c r="I108" s="178"/>
      <c r="J108" s="18">
        <f t="shared" si="5"/>
        <v>0</v>
      </c>
      <c r="L108" s="166"/>
      <c r="O108" s="1" t="s">
        <v>126</v>
      </c>
    </row>
    <row r="109" spans="1:15" ht="39.75" customHeight="1" outlineLevel="2">
      <c r="A109" s="178" t="str">
        <f t="shared" si="4"/>
        <v>Размер пени и штрафов, уплаченных поставщику (поставщикам) коммунального ресурса, руб.</v>
      </c>
      <c r="B109" s="178"/>
      <c r="C109" s="178"/>
      <c r="D109" s="178"/>
      <c r="E109" s="178"/>
      <c r="F109" s="178"/>
      <c r="G109" s="178"/>
      <c r="H109" s="178"/>
      <c r="I109" s="178"/>
      <c r="J109" s="18">
        <f t="shared" si="5"/>
        <v>0</v>
      </c>
      <c r="L109" s="166"/>
      <c r="O109" s="1" t="s">
        <v>127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3">
        <f>VLOOKUP("воо",АО,5,FALSE)</f>
        <v>264184.17</v>
      </c>
      <c r="H110" s="162"/>
      <c r="I110" s="162"/>
      <c r="J110" s="162"/>
      <c r="L110" s="166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13624.763795771014</v>
      </c>
      <c r="L111" s="166"/>
      <c r="O111" s="1" t="s">
        <v>129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274819.96999999997</v>
      </c>
      <c r="L112" s="166"/>
      <c r="O112" s="1" t="s">
        <v>130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66"/>
      <c r="O113" s="1" t="s">
        <v>131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264184.17</v>
      </c>
      <c r="L114" s="166"/>
      <c r="O114" s="1" t="s">
        <v>132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264184.17</v>
      </c>
      <c r="L115" s="166"/>
      <c r="O115" s="1" t="s">
        <v>133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66"/>
      <c r="O116" s="1" t="s">
        <v>134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66"/>
      <c r="O117" s="1" t="s">
        <v>135</v>
      </c>
    </row>
    <row r="118" spans="1:15" ht="32.25" hidden="1" customHeight="1" outlineLevel="1">
      <c r="A118" s="161">
        <f>IF(VLOOKUP("тко",АО,3,FALSE)&gt;0,"Обращение с ТКО",0)</f>
        <v>0</v>
      </c>
      <c r="B118" s="161"/>
      <c r="C118" s="161"/>
      <c r="D118" s="162">
        <f>IF(VLOOKUP("тко",АО,3,FALSE)&gt;0,VLOOKUP("тко",АО,3,FALSE),0)</f>
        <v>0</v>
      </c>
      <c r="E118" s="162"/>
      <c r="F118" s="13">
        <f>IF(VLOOKUP("тко",АО,3,FALSE)&gt;0,VLOOKUP("тко",АО,4,FALSE),0)</f>
        <v>0</v>
      </c>
      <c r="G118" s="163">
        <f>VLOOKUP("тко",АО,5,FALSE)</f>
        <v>0</v>
      </c>
      <c r="H118" s="162"/>
      <c r="I118" s="162"/>
      <c r="J118" s="162"/>
      <c r="L118" s="47"/>
    </row>
    <row r="119" spans="1:15" ht="32.25" hidden="1" customHeight="1" outlineLevel="2">
      <c r="A119" s="157">
        <f t="shared" ref="A119:A125" si="8">IF(VLOOKUP("тко",АО,3,FALSE)&gt;0,VLOOKUP(O119,АО,2,FALSE),0)</f>
        <v>0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7">
        <f t="shared" si="8"/>
        <v>0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103.71</v>
      </c>
      <c r="L120" s="47"/>
      <c r="O120" s="1" t="s">
        <v>138</v>
      </c>
    </row>
    <row r="121" spans="1:15" ht="32.25" hidden="1" customHeight="1" outlineLevel="2">
      <c r="A121" s="157">
        <f t="shared" si="8"/>
        <v>0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7">
        <f t="shared" si="8"/>
        <v>0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7">
        <f t="shared" si="8"/>
        <v>0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7">
        <f t="shared" si="8"/>
        <v>0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7">
        <f t="shared" si="8"/>
        <v>0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1">
        <f>IF(VLOOKUP("гвс",АО,3,FALSE)&gt;0,"Горячее водоснабжение",0)</f>
        <v>0</v>
      </c>
      <c r="B126" s="161"/>
      <c r="C126" s="161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3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7">
        <f t="shared" ref="A127:A133" si="10">IF(VLOOKUP("гвс",АО,3,FALSE)&gt;0,VLOOKUP(O127,АО,2,FALSE),0)</f>
        <v>0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7">
        <f t="shared" si="10"/>
        <v>0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7">
        <f t="shared" si="10"/>
        <v>0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7">
        <f t="shared" si="10"/>
        <v>0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7">
        <f t="shared" si="10"/>
        <v>0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7">
        <f t="shared" si="10"/>
        <v>0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7">
        <f t="shared" si="10"/>
        <v>0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169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57" t="s">
        <v>172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0</v>
      </c>
      <c r="O146" t="s">
        <v>171</v>
      </c>
    </row>
    <row r="149" spans="1:15" ht="52.5" customHeight="1">
      <c r="A149" s="182" t="s">
        <v>179</v>
      </c>
      <c r="B149" s="182"/>
      <c r="C149" s="182"/>
      <c r="D149" s="182"/>
      <c r="E149" s="182"/>
      <c r="F149" s="182"/>
      <c r="G149" s="182"/>
      <c r="H149" s="182"/>
      <c r="I149" s="182"/>
      <c r="J149" s="182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4" t="s">
        <v>198</v>
      </c>
      <c r="B154" s="184"/>
      <c r="C154" s="184"/>
      <c r="D154" s="184"/>
      <c r="E154" s="27">
        <f>ПТО!G1</f>
        <v>-229739.73</v>
      </c>
    </row>
    <row r="155" spans="1:15" ht="34.5" customHeight="1">
      <c r="A155" s="183" t="s">
        <v>197</v>
      </c>
      <c r="B155" s="183"/>
      <c r="C155" s="183"/>
      <c r="D155" s="183"/>
      <c r="E155" s="28">
        <f>J13</f>
        <v>146558.76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7" t="s">
        <v>19</v>
      </c>
      <c r="B157" s="167"/>
      <c r="C157" s="167"/>
      <c r="D157" s="167"/>
      <c r="E157" s="167"/>
      <c r="F157" s="167" t="s">
        <v>20</v>
      </c>
      <c r="G157" s="167"/>
      <c r="H157" s="20" t="s">
        <v>57</v>
      </c>
      <c r="I157" s="167" t="s">
        <v>21</v>
      </c>
      <c r="J157" s="167"/>
    </row>
    <row r="158" spans="1:15" ht="29.25" customHeight="1">
      <c r="A158" s="159" t="str">
        <f t="shared" ref="A158:A163" si="14">IF(N158&gt;0,N158,0)</f>
        <v>Ремонт повысительного насоса ХВС (замена торцевого уплотнителя).</v>
      </c>
      <c r="B158" s="159"/>
      <c r="C158" s="159"/>
      <c r="D158" s="159"/>
      <c r="E158" s="159"/>
      <c r="F158" s="164">
        <f t="shared" ref="F158:F163" si="15">IF(ISERROR(VLOOKUP(A158,$A$28:$J$72,6,FALSE)),0,VLOOKUP(A158,$A$28:$J$72,6,FALSE))</f>
        <v>1995.7</v>
      </c>
      <c r="G158" s="164"/>
      <c r="H158" s="24" t="str">
        <f t="shared" ref="H158:H187" si="16">VLOOKUP(A158,$A$28:$J$72,8,FALSE)</f>
        <v>разово</v>
      </c>
      <c r="I158" s="160">
        <f t="shared" ref="I158:I161" si="17">VLOOKUP(A158,$A$28:$J$72,9,FALSE)</f>
        <v>1</v>
      </c>
      <c r="J158" s="160"/>
      <c r="M158" s="22" t="s">
        <v>72</v>
      </c>
      <c r="N158" s="1" t="str">
        <f t="array" ref="N158:N187">INDEX($O$43:$O$72,SMALL(IF($M$158=R43:R72,ROW(O43:O72)-42,""),ROW()-157))</f>
        <v>Ремонт повысительного насоса ХВС (замена торцевого уплотнителя).</v>
      </c>
    </row>
    <row r="159" spans="1:15" ht="28.5" customHeight="1">
      <c r="A159" s="159" t="str">
        <f t="shared" si="14"/>
        <v>Ремонт прибора учета тепловой энергии.</v>
      </c>
      <c r="B159" s="159"/>
      <c r="C159" s="159"/>
      <c r="D159" s="159"/>
      <c r="E159" s="159"/>
      <c r="F159" s="164">
        <f t="shared" si="15"/>
        <v>2824</v>
      </c>
      <c r="G159" s="164"/>
      <c r="H159" s="24" t="str">
        <f t="shared" si="16"/>
        <v>разово</v>
      </c>
      <c r="I159" s="160">
        <f t="shared" si="17"/>
        <v>1</v>
      </c>
      <c r="J159" s="160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59" t="str">
        <f t="shared" si="14"/>
        <v>Ремонт повысительного насоса ХВС (восстановление рабочего колеса).</v>
      </c>
      <c r="B160" s="159"/>
      <c r="C160" s="159"/>
      <c r="D160" s="159"/>
      <c r="E160" s="159"/>
      <c r="F160" s="164">
        <f t="shared" si="15"/>
        <v>3098.9</v>
      </c>
      <c r="G160" s="164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Ремонт повысительного насоса ХВС (восстановление рабочего колеса).</v>
      </c>
    </row>
    <row r="161" spans="1:14" ht="28.5" hidden="1" customHeight="1">
      <c r="A161" s="159">
        <f>IF(N161&gt;0,N161,0)</f>
        <v>0</v>
      </c>
      <c r="B161" s="159"/>
      <c r="C161" s="159"/>
      <c r="D161" s="159"/>
      <c r="E161" s="159"/>
      <c r="F161" s="164">
        <f t="shared" si="15"/>
        <v>0</v>
      </c>
      <c r="G161" s="164"/>
      <c r="H161" s="24" t="e">
        <f t="shared" si="16"/>
        <v>#N/A</v>
      </c>
      <c r="I161" s="160" t="e">
        <f t="shared" si="17"/>
        <v>#N/A</v>
      </c>
      <c r="J161" s="160"/>
      <c r="M161" s="22" t="s">
        <v>72</v>
      </c>
      <c r="N161" s="1">
        <v>0</v>
      </c>
    </row>
    <row r="162" spans="1:14" ht="28.5" hidden="1" customHeight="1">
      <c r="A162" s="159">
        <f t="shared" si="14"/>
        <v>0</v>
      </c>
      <c r="B162" s="159"/>
      <c r="C162" s="159"/>
      <c r="D162" s="159"/>
      <c r="E162" s="159"/>
      <c r="F162" s="164">
        <f t="shared" si="15"/>
        <v>0</v>
      </c>
      <c r="G162" s="164"/>
      <c r="H162" s="24" t="e">
        <f t="shared" si="16"/>
        <v>#N/A</v>
      </c>
      <c r="I162" s="160" t="e">
        <f>VLOOKUP(A162,$A$28:$J$72,9,FALSE)</f>
        <v>#N/A</v>
      </c>
      <c r="J162" s="160"/>
      <c r="M162" s="22" t="s">
        <v>72</v>
      </c>
      <c r="N162" s="1">
        <v>0</v>
      </c>
    </row>
    <row r="163" spans="1:14" ht="28.5" hidden="1" customHeight="1">
      <c r="A163" s="159">
        <f t="shared" si="14"/>
        <v>0</v>
      </c>
      <c r="B163" s="159"/>
      <c r="C163" s="159"/>
      <c r="D163" s="159"/>
      <c r="E163" s="159"/>
      <c r="F163" s="164">
        <f t="shared" si="15"/>
        <v>0</v>
      </c>
      <c r="G163" s="164"/>
      <c r="H163" s="24" t="e">
        <f t="shared" si="16"/>
        <v>#N/A</v>
      </c>
      <c r="I163" s="160" t="e">
        <f>VLOOKUP(A163,$A$28:$J$72,9,FALSE)</f>
        <v>#N/A</v>
      </c>
      <c r="J163" s="160"/>
      <c r="M163" s="22" t="s">
        <v>72</v>
      </c>
      <c r="N163" s="1">
        <v>0</v>
      </c>
    </row>
    <row r="164" spans="1:14" ht="28.5" hidden="1" customHeight="1">
      <c r="A164" s="159">
        <f t="shared" ref="A164:A187" si="18">IF(N164&gt;0,N164,0)</f>
        <v>0</v>
      </c>
      <c r="B164" s="159"/>
      <c r="C164" s="159"/>
      <c r="D164" s="159"/>
      <c r="E164" s="159"/>
      <c r="F164" s="164">
        <f t="shared" ref="F164:F187" si="19">IF(ISERROR(VLOOKUP(A164,$A$28:$J$72,6,FALSE)),0,VLOOKUP(A164,$A$28:$J$72,6,FALSE))</f>
        <v>0</v>
      </c>
      <c r="G164" s="164"/>
      <c r="H164" s="29" t="e">
        <f t="shared" si="16"/>
        <v>#N/A</v>
      </c>
      <c r="I164" s="160" t="e">
        <f t="shared" ref="I164:I187" si="20">VLOOKUP(A164,$A$28:$J$72,9,FALSE)</f>
        <v>#N/A</v>
      </c>
      <c r="J164" s="160"/>
      <c r="M164" s="22" t="s">
        <v>72</v>
      </c>
      <c r="N164" s="1">
        <v>0</v>
      </c>
    </row>
    <row r="165" spans="1:14" ht="28.5" hidden="1" customHeight="1">
      <c r="A165" s="159">
        <f t="shared" si="18"/>
        <v>0</v>
      </c>
      <c r="B165" s="159"/>
      <c r="C165" s="159"/>
      <c r="D165" s="159"/>
      <c r="E165" s="159"/>
      <c r="F165" s="164">
        <f t="shared" si="19"/>
        <v>0</v>
      </c>
      <c r="G165" s="164"/>
      <c r="H165" s="29" t="e">
        <f t="shared" si="16"/>
        <v>#N/A</v>
      </c>
      <c r="I165" s="160" t="e">
        <f t="shared" si="20"/>
        <v>#N/A</v>
      </c>
      <c r="J165" s="160"/>
      <c r="M165" s="22" t="s">
        <v>72</v>
      </c>
      <c r="N165" s="1">
        <v>0</v>
      </c>
    </row>
    <row r="166" spans="1:14" ht="28.5" hidden="1" customHeight="1">
      <c r="A166" s="159">
        <f t="shared" si="18"/>
        <v>0</v>
      </c>
      <c r="B166" s="159"/>
      <c r="C166" s="159"/>
      <c r="D166" s="159"/>
      <c r="E166" s="159"/>
      <c r="F166" s="164">
        <f t="shared" si="19"/>
        <v>0</v>
      </c>
      <c r="G166" s="164"/>
      <c r="H166" s="29" t="e">
        <f t="shared" si="16"/>
        <v>#N/A</v>
      </c>
      <c r="I166" s="160" t="e">
        <f t="shared" si="20"/>
        <v>#N/A</v>
      </c>
      <c r="J166" s="160"/>
      <c r="M166" s="22" t="s">
        <v>72</v>
      </c>
      <c r="N166" s="1">
        <v>0</v>
      </c>
    </row>
    <row r="167" spans="1:14" ht="28.5" hidden="1" customHeight="1">
      <c r="A167" s="159">
        <f t="shared" si="18"/>
        <v>0</v>
      </c>
      <c r="B167" s="159"/>
      <c r="C167" s="159"/>
      <c r="D167" s="159"/>
      <c r="E167" s="159"/>
      <c r="F167" s="164">
        <f t="shared" si="19"/>
        <v>0</v>
      </c>
      <c r="G167" s="164"/>
      <c r="H167" s="29" t="e">
        <f t="shared" si="16"/>
        <v>#N/A</v>
      </c>
      <c r="I167" s="160" t="e">
        <f t="shared" si="20"/>
        <v>#N/A</v>
      </c>
      <c r="J167" s="160"/>
      <c r="M167" s="22" t="s">
        <v>72</v>
      </c>
      <c r="N167" s="1">
        <v>0</v>
      </c>
    </row>
    <row r="168" spans="1:14" ht="28.5" hidden="1" customHeight="1">
      <c r="A168" s="159">
        <f t="shared" si="18"/>
        <v>0</v>
      </c>
      <c r="B168" s="159"/>
      <c r="C168" s="159"/>
      <c r="D168" s="159"/>
      <c r="E168" s="159"/>
      <c r="F168" s="164">
        <f t="shared" si="19"/>
        <v>0</v>
      </c>
      <c r="G168" s="164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4">
        <f t="shared" si="19"/>
        <v>0</v>
      </c>
      <c r="G169" s="164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4">
        <f t="shared" si="19"/>
        <v>0</v>
      </c>
      <c r="G170" s="164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4">
        <f t="shared" si="19"/>
        <v>0</v>
      </c>
      <c r="G171" s="164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4">
        <f t="shared" si="19"/>
        <v>0</v>
      </c>
      <c r="G172" s="164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4">
        <f t="shared" si="19"/>
        <v>0</v>
      </c>
      <c r="G173" s="164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4">
        <f t="shared" si="19"/>
        <v>0</v>
      </c>
      <c r="G174" s="164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4">
        <f t="shared" si="19"/>
        <v>0</v>
      </c>
      <c r="G175" s="164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4">
        <f t="shared" si="19"/>
        <v>0</v>
      </c>
      <c r="G176" s="164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4">
        <f t="shared" si="19"/>
        <v>0</v>
      </c>
      <c r="G177" s="164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4">
        <f t="shared" si="19"/>
        <v>0</v>
      </c>
      <c r="G178" s="164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4">
        <f t="shared" si="19"/>
        <v>0</v>
      </c>
      <c r="G179" s="164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4">
        <f t="shared" si="19"/>
        <v>0</v>
      </c>
      <c r="G180" s="164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4">
        <f t="shared" si="19"/>
        <v>0</v>
      </c>
      <c r="G181" s="164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4">
        <f t="shared" si="19"/>
        <v>0</v>
      </c>
      <c r="G182" s="164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4">
        <f t="shared" si="19"/>
        <v>0</v>
      </c>
      <c r="G183" s="164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4">
        <f t="shared" si="19"/>
        <v>0</v>
      </c>
      <c r="G184" s="164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4">
        <f t="shared" si="19"/>
        <v>0</v>
      </c>
      <c r="G185" s="164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4">
        <f t="shared" si="19"/>
        <v>0</v>
      </c>
      <c r="G186" s="164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4">
        <f t="shared" si="19"/>
        <v>0</v>
      </c>
      <c r="G187" s="164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15.75" customHeight="1">
      <c r="A188" s="104" t="s">
        <v>173</v>
      </c>
    </row>
    <row r="189" spans="1:14" ht="15.75" customHeight="1">
      <c r="A189" s="104" t="s">
        <v>173</v>
      </c>
    </row>
    <row r="190" spans="1:14" ht="36.75" customHeight="1">
      <c r="A190" s="184" t="s">
        <v>196</v>
      </c>
      <c r="B190" s="184"/>
      <c r="C190" s="184"/>
      <c r="D190" s="184"/>
      <c r="E190" s="27">
        <f>SUM(F158:G187)</f>
        <v>7918.6</v>
      </c>
    </row>
    <row r="191" spans="1:14" ht="51.75" customHeight="1">
      <c r="A191" s="184" t="s">
        <v>195</v>
      </c>
      <c r="B191" s="184"/>
      <c r="C191" s="184"/>
      <c r="D191" s="184"/>
      <c r="E191" s="27">
        <f>E190+E154-E155</f>
        <v>-368379.89</v>
      </c>
    </row>
    <row r="192" spans="1:14">
      <c r="A192" s="104" t="s">
        <v>173</v>
      </c>
    </row>
    <row r="193" spans="1:10" ht="62.25" customHeight="1">
      <c r="A193" s="158" t="s">
        <v>194</v>
      </c>
      <c r="B193" s="158"/>
      <c r="C193" s="158"/>
      <c r="D193" s="158"/>
      <c r="E193" s="158"/>
      <c r="F193" s="158"/>
      <c r="G193" s="158"/>
      <c r="H193" s="158"/>
      <c r="I193" s="158"/>
      <c r="J193" s="158"/>
    </row>
    <row r="194" spans="1:10">
      <c r="A194" s="156" t="str">
        <f>ПТО!F12</f>
        <v xml:space="preserve">  -  поверка (замена) манометров и термометров</v>
      </c>
      <c r="B194" s="156"/>
      <c r="C194" s="156"/>
      <c r="D194" s="156"/>
      <c r="E194" s="156"/>
      <c r="F194" s="156"/>
      <c r="G194" s="156"/>
      <c r="H194" s="49">
        <f>ПТО!G12</f>
        <v>1200</v>
      </c>
      <c r="I194" s="50" t="s">
        <v>74</v>
      </c>
    </row>
    <row r="195" spans="1:10" ht="18.75" customHeight="1">
      <c r="A195" s="156" t="str">
        <f>ПТО!F13</f>
        <v xml:space="preserve">  -  покраска (обновление) бордюров и разлиновка парковочных мест</v>
      </c>
      <c r="B195" s="156"/>
      <c r="C195" s="156"/>
      <c r="D195" s="156"/>
      <c r="E195" s="156"/>
      <c r="F195" s="156"/>
      <c r="G195" s="156"/>
      <c r="H195" s="49">
        <f>ПТО!G13</f>
        <v>9000</v>
      </c>
      <c r="I195" s="50" t="s">
        <v>74</v>
      </c>
    </row>
    <row r="196" spans="1:10" ht="36" customHeight="1">
      <c r="A196" s="156" t="str">
        <f>ПТО!F14</f>
        <v xml:space="preserve">  -  промазка битумным технониколем швов рулонного технониколя, фановых труб, вентиляционных шахт, парапетов и т. п.</v>
      </c>
      <c r="B196" s="156"/>
      <c r="C196" s="156"/>
      <c r="D196" s="156"/>
      <c r="E196" s="156"/>
      <c r="F196" s="156"/>
      <c r="G196" s="156"/>
      <c r="H196" s="49">
        <f>ПТО!G14</f>
        <v>12000</v>
      </c>
      <c r="I196" s="50" t="s">
        <v>74</v>
      </c>
    </row>
    <row r="197" spans="1:10" ht="37.5" customHeight="1">
      <c r="A197" s="156" t="str">
        <f>ПТО!F15</f>
        <v xml:space="preserve">  -  ремонт асфальтного покрытия (трещины, ямы)  специализированной организацией</v>
      </c>
      <c r="B197" s="156"/>
      <c r="C197" s="156"/>
      <c r="D197" s="156"/>
      <c r="E197" s="156"/>
      <c r="F197" s="156"/>
      <c r="G197" s="156"/>
      <c r="H197" s="49">
        <f>ПТО!G15</f>
        <v>25000</v>
      </c>
      <c r="I197" s="50" t="s">
        <v>74</v>
      </c>
    </row>
    <row r="198" spans="1:10" ht="18.75" customHeight="1">
      <c r="A198" s="156" t="str">
        <f>ПТО!F16</f>
        <v xml:space="preserve">  -  благоустройство придомовой территории в торце дома (чернозем, саженцы)</v>
      </c>
      <c r="B198" s="156"/>
      <c r="C198" s="156"/>
      <c r="D198" s="156"/>
      <c r="E198" s="156"/>
      <c r="F198" s="156"/>
      <c r="G198" s="156"/>
      <c r="H198" s="49">
        <f>ПТО!G16</f>
        <v>15000</v>
      </c>
      <c r="I198" s="52" t="s">
        <v>74</v>
      </c>
    </row>
    <row r="199" spans="1:10" ht="39" customHeight="1">
      <c r="A199" s="156" t="str">
        <f>ПТО!F17</f>
        <v xml:space="preserve">  -  частичное укрытие металлом деформационных швов</v>
      </c>
      <c r="B199" s="156"/>
      <c r="C199" s="156"/>
      <c r="D199" s="156"/>
      <c r="E199" s="156"/>
      <c r="F199" s="156"/>
      <c r="G199" s="156"/>
      <c r="H199" s="49">
        <f>ПТО!G17</f>
        <v>30000</v>
      </c>
      <c r="I199" s="50" t="s">
        <v>74</v>
      </c>
    </row>
    <row r="200" spans="1:10" ht="37.5" customHeight="1">
      <c r="A200" s="156" t="str">
        <f>ПТО!F18</f>
        <v xml:space="preserve">  -  приобретение малых игровых форм для детской площадки</v>
      </c>
      <c r="B200" s="156"/>
      <c r="C200" s="156"/>
      <c r="D200" s="156"/>
      <c r="E200" s="156"/>
      <c r="F200" s="156"/>
      <c r="G200" s="156"/>
      <c r="H200" s="49">
        <f>ПТО!G18</f>
        <v>30000</v>
      </c>
      <c r="I200" s="50" t="s">
        <v>74</v>
      </c>
    </row>
    <row r="201" spans="1:10" ht="19.5" customHeight="1">
      <c r="A201" s="156" t="str">
        <f>ПТО!F19</f>
        <v xml:space="preserve">  -  покраска металлического ограждения кровли</v>
      </c>
      <c r="B201" s="156"/>
      <c r="C201" s="156"/>
      <c r="D201" s="156"/>
      <c r="E201" s="156"/>
      <c r="F201" s="156"/>
      <c r="G201" s="156"/>
      <c r="H201" s="49">
        <f>ПТО!G19</f>
        <v>10000</v>
      </c>
      <c r="I201" s="50" t="s">
        <v>74</v>
      </c>
    </row>
    <row r="202" spans="1:10" hidden="1">
      <c r="A202" s="156">
        <f>ПТО!F20</f>
        <v>0</v>
      </c>
      <c r="B202" s="156"/>
      <c r="C202" s="156"/>
      <c r="D202" s="156"/>
      <c r="E202" s="156"/>
      <c r="F202" s="156"/>
      <c r="G202" s="156"/>
      <c r="H202" s="49">
        <f>ПТО!G20</f>
        <v>0</v>
      </c>
      <c r="I202" s="50" t="s">
        <v>74</v>
      </c>
    </row>
    <row r="203" spans="1:10" hidden="1">
      <c r="A203" s="156">
        <f>ПТО!F21</f>
        <v>0</v>
      </c>
      <c r="B203" s="156"/>
      <c r="C203" s="156"/>
      <c r="D203" s="156"/>
      <c r="E203" s="156"/>
      <c r="F203" s="156"/>
      <c r="G203" s="156"/>
      <c r="H203" s="49">
        <f>ПТО!G21</f>
        <v>0</v>
      </c>
      <c r="I203" s="50" t="s">
        <v>74</v>
      </c>
    </row>
    <row r="204" spans="1:10" hidden="1">
      <c r="A204" s="156">
        <f>ПТО!F22</f>
        <v>0</v>
      </c>
      <c r="B204" s="156"/>
      <c r="C204" s="156"/>
      <c r="D204" s="156"/>
      <c r="E204" s="156"/>
      <c r="F204" s="156"/>
      <c r="G204" s="156"/>
      <c r="H204" s="49">
        <f>ПТО!G22</f>
        <v>0</v>
      </c>
      <c r="I204" s="50" t="s">
        <v>74</v>
      </c>
    </row>
    <row r="205" spans="1:10" hidden="1">
      <c r="A205" s="156">
        <f>ПТО!F23</f>
        <v>0</v>
      </c>
      <c r="B205" s="156"/>
      <c r="C205" s="156"/>
      <c r="D205" s="156"/>
      <c r="E205" s="156"/>
      <c r="F205" s="156"/>
      <c r="G205" s="156"/>
      <c r="H205" s="49">
        <f>ПТО!G23</f>
        <v>0</v>
      </c>
      <c r="I205" s="50" t="s">
        <v>74</v>
      </c>
    </row>
    <row r="206" spans="1:10" hidden="1">
      <c r="A206" s="156">
        <f>ПТО!F24</f>
        <v>0</v>
      </c>
      <c r="B206" s="156"/>
      <c r="C206" s="156"/>
      <c r="D206" s="156"/>
      <c r="E206" s="156"/>
      <c r="F206" s="156"/>
      <c r="G206" s="156"/>
      <c r="H206" s="49">
        <f>ПТО!G24</f>
        <v>0</v>
      </c>
      <c r="I206" s="50" t="s">
        <v>74</v>
      </c>
    </row>
    <row r="207" spans="1:10" hidden="1">
      <c r="A207" s="156">
        <f>ПТО!F25</f>
        <v>0</v>
      </c>
      <c r="B207" s="156"/>
      <c r="C207" s="156"/>
      <c r="D207" s="156"/>
      <c r="E207" s="156"/>
      <c r="F207" s="156"/>
      <c r="G207" s="156"/>
      <c r="H207" s="49">
        <f>ПТО!G25</f>
        <v>0</v>
      </c>
      <c r="I207" s="50" t="s">
        <v>74</v>
      </c>
    </row>
    <row r="208" spans="1:10" hidden="1">
      <c r="A208" s="156">
        <f>ПТО!F26</f>
        <v>0</v>
      </c>
      <c r="B208" s="156"/>
      <c r="C208" s="156"/>
      <c r="D208" s="156"/>
      <c r="E208" s="156"/>
      <c r="F208" s="156"/>
      <c r="G208" s="156"/>
      <c r="H208" s="49">
        <f>ПТО!G26</f>
        <v>0</v>
      </c>
      <c r="I208" s="50" t="s">
        <v>74</v>
      </c>
    </row>
    <row r="209" spans="1:9" hidden="1">
      <c r="A209" s="156">
        <f>ПТО!F27</f>
        <v>0</v>
      </c>
      <c r="B209" s="156"/>
      <c r="C209" s="156"/>
      <c r="D209" s="156"/>
      <c r="E209" s="156"/>
      <c r="F209" s="156"/>
      <c r="G209" s="156"/>
      <c r="H209" s="49">
        <f>ПТО!G27</f>
        <v>0</v>
      </c>
      <c r="I209" s="50" t="s">
        <v>74</v>
      </c>
    </row>
    <row r="210" spans="1:9" hidden="1">
      <c r="A210" s="156">
        <f>ПТО!F28</f>
        <v>0</v>
      </c>
      <c r="B210" s="156"/>
      <c r="C210" s="156"/>
      <c r="D210" s="156"/>
      <c r="E210" s="156"/>
      <c r="F210" s="156"/>
      <c r="G210" s="156"/>
      <c r="H210" s="49">
        <f>ПТО!G28</f>
        <v>0</v>
      </c>
      <c r="I210" s="50" t="s">
        <v>74</v>
      </c>
    </row>
    <row r="211" spans="1:9" hidden="1">
      <c r="A211" s="156">
        <f>ПТО!F29</f>
        <v>0</v>
      </c>
      <c r="B211" s="156"/>
      <c r="C211" s="156"/>
      <c r="D211" s="156"/>
      <c r="E211" s="156"/>
      <c r="F211" s="156"/>
      <c r="G211" s="156"/>
      <c r="H211" s="49">
        <f>ПТО!G29</f>
        <v>0</v>
      </c>
      <c r="I211" s="50" t="s">
        <v>74</v>
      </c>
    </row>
    <row r="212" spans="1:9" hidden="1">
      <c r="A212" s="156">
        <f>ПТО!F30</f>
        <v>0</v>
      </c>
      <c r="B212" s="156"/>
      <c r="C212" s="156"/>
      <c r="D212" s="156"/>
      <c r="E212" s="156"/>
      <c r="F212" s="156"/>
      <c r="G212" s="156"/>
      <c r="H212" s="49">
        <f>ПТО!G30</f>
        <v>0</v>
      </c>
      <c r="I212" s="50" t="s">
        <v>74</v>
      </c>
    </row>
    <row r="213" spans="1:9" hidden="1">
      <c r="A213" s="156">
        <f>ПТО!F31</f>
        <v>0</v>
      </c>
      <c r="B213" s="156"/>
      <c r="C213" s="156"/>
      <c r="D213" s="156"/>
      <c r="E213" s="156"/>
      <c r="F213" s="156"/>
      <c r="G213" s="156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132200</v>
      </c>
      <c r="I214" s="56" t="s">
        <v>76</v>
      </c>
    </row>
  </sheetData>
  <sheetProtection algorithmName="SHA-512" hashValue="ye1cUGjJ1uEKeNIAcox5Zri1YqhBhXksPsxA6tq1xP1WSIiQzbaeQ3+xOONtY6UJw7z67nprOVOO3NE840iylw==" saltValue="YgFuTjRRuASaZd2JMbfOb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8" sqref="B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198</v>
      </c>
      <c r="G1" s="101">
        <f>-229739.73</f>
        <v>-229739.73</v>
      </c>
    </row>
    <row r="2" spans="1:12" ht="29.25" customHeight="1">
      <c r="A2" s="151" t="s">
        <v>201</v>
      </c>
      <c r="B2" s="119" t="s">
        <v>199</v>
      </c>
      <c r="C2" s="119">
        <v>1</v>
      </c>
      <c r="D2" s="120">
        <v>1995.7</v>
      </c>
      <c r="E2" s="124" t="s">
        <v>203</v>
      </c>
      <c r="F2" s="148" t="s">
        <v>190</v>
      </c>
      <c r="G2" s="32"/>
      <c r="L2" s="33" t="str">
        <f t="shared" ref="L2:L22" si="0">IF(A2&gt;0,"ТР",0)</f>
        <v>ТР</v>
      </c>
    </row>
    <row r="3" spans="1:12" ht="18.75" customHeight="1">
      <c r="A3" s="152" t="s">
        <v>202</v>
      </c>
      <c r="B3" s="153" t="s">
        <v>199</v>
      </c>
      <c r="C3" s="154">
        <v>1</v>
      </c>
      <c r="D3" s="155">
        <v>2824</v>
      </c>
      <c r="E3" s="124" t="s">
        <v>204</v>
      </c>
      <c r="F3" s="30"/>
      <c r="G3" s="30"/>
      <c r="L3" s="33" t="str">
        <f t="shared" si="0"/>
        <v>ТР</v>
      </c>
    </row>
    <row r="4" spans="1:12" ht="18.75" customHeight="1">
      <c r="A4" s="151" t="s">
        <v>200</v>
      </c>
      <c r="B4" s="119" t="s">
        <v>199</v>
      </c>
      <c r="C4" s="119">
        <v>1</v>
      </c>
      <c r="D4" s="120">
        <v>3098.9</v>
      </c>
      <c r="E4" s="124" t="s">
        <v>205</v>
      </c>
      <c r="F4" s="30"/>
      <c r="G4" s="30"/>
      <c r="L4" s="33" t="str">
        <f t="shared" si="0"/>
        <v>ТР</v>
      </c>
    </row>
    <row r="5" spans="1:12" ht="18.75" customHeight="1">
      <c r="A5" s="149"/>
      <c r="B5" s="150"/>
      <c r="C5" s="143"/>
      <c r="D5" s="144"/>
      <c r="E5" s="145"/>
      <c r="F5" s="44"/>
      <c r="G5" s="44"/>
      <c r="K5" s="46"/>
      <c r="L5" s="33">
        <f t="shared" si="0"/>
        <v>0</v>
      </c>
    </row>
    <row r="6" spans="1:12" ht="32.25" customHeight="1">
      <c r="A6" s="149"/>
      <c r="B6" s="150"/>
      <c r="C6" s="143"/>
      <c r="D6" s="144"/>
      <c r="E6" s="145"/>
      <c r="F6" s="44"/>
      <c r="G6" s="44"/>
      <c r="K6" s="46"/>
      <c r="L6" s="33">
        <f t="shared" si="0"/>
        <v>0</v>
      </c>
    </row>
    <row r="7" spans="1:12" ht="18.75" customHeight="1">
      <c r="A7" s="131"/>
      <c r="B7" s="132"/>
      <c r="C7" s="118"/>
      <c r="D7" s="120"/>
      <c r="E7" s="120"/>
      <c r="F7" s="45"/>
      <c r="G7" s="45"/>
      <c r="K7" s="46"/>
      <c r="L7" s="33">
        <f t="shared" si="0"/>
        <v>0</v>
      </c>
    </row>
    <row r="8" spans="1:12" ht="18.75" customHeight="1">
      <c r="A8" s="133"/>
      <c r="B8" s="134"/>
      <c r="C8" s="118"/>
      <c r="D8" s="120"/>
      <c r="E8" s="124"/>
      <c r="F8" s="45"/>
      <c r="G8" s="45"/>
      <c r="K8" s="43"/>
      <c r="L8" s="33">
        <f t="shared" si="0"/>
        <v>0</v>
      </c>
    </row>
    <row r="9" spans="1:12">
      <c r="A9" s="133"/>
      <c r="B9" s="134"/>
      <c r="C9" s="118"/>
      <c r="D9" s="120"/>
      <c r="E9" s="124"/>
      <c r="F9" s="44"/>
      <c r="G9" s="44"/>
      <c r="K9" s="43"/>
      <c r="L9" s="33">
        <f t="shared" si="0"/>
        <v>0</v>
      </c>
    </row>
    <row r="10" spans="1:12">
      <c r="A10" s="138"/>
      <c r="B10" s="139"/>
      <c r="C10" s="119"/>
      <c r="D10" s="120"/>
      <c r="E10" s="125"/>
      <c r="L10" s="33">
        <f t="shared" si="0"/>
        <v>0</v>
      </c>
    </row>
    <row r="11" spans="1:12" ht="94.5">
      <c r="A11" s="135"/>
      <c r="B11" s="136"/>
      <c r="C11" s="118"/>
      <c r="D11" s="137"/>
      <c r="E11" s="120"/>
      <c r="F11" s="111" t="s">
        <v>194</v>
      </c>
      <c r="G11" s="111"/>
      <c r="L11" s="33">
        <f t="shared" si="0"/>
        <v>0</v>
      </c>
    </row>
    <row r="12" spans="1:12" ht="31.5">
      <c r="A12" s="117"/>
      <c r="B12" s="118"/>
      <c r="C12" s="119"/>
      <c r="D12" s="120"/>
      <c r="E12" s="125"/>
      <c r="F12" s="112" t="s">
        <v>73</v>
      </c>
      <c r="G12" s="113">
        <v>1200</v>
      </c>
      <c r="L12" s="33">
        <f t="shared" si="0"/>
        <v>0</v>
      </c>
    </row>
    <row r="13" spans="1:12" ht="31.5">
      <c r="A13" s="128"/>
      <c r="B13" s="118"/>
      <c r="C13" s="119"/>
      <c r="D13" s="120"/>
      <c r="E13" s="125"/>
      <c r="F13" s="112" t="s">
        <v>178</v>
      </c>
      <c r="G13" s="113">
        <v>9000</v>
      </c>
      <c r="L13" s="33">
        <f t="shared" si="0"/>
        <v>0</v>
      </c>
    </row>
    <row r="14" spans="1:12" ht="63">
      <c r="A14" s="123"/>
      <c r="B14" s="127"/>
      <c r="C14" s="119"/>
      <c r="D14" s="120"/>
      <c r="E14" s="124"/>
      <c r="F14" s="112" t="s">
        <v>206</v>
      </c>
      <c r="G14" s="113">
        <v>12000</v>
      </c>
      <c r="L14" s="33">
        <f t="shared" si="0"/>
        <v>0</v>
      </c>
    </row>
    <row r="15" spans="1:12" ht="47.25">
      <c r="A15" s="123"/>
      <c r="B15" s="127"/>
      <c r="C15" s="119"/>
      <c r="D15" s="120"/>
      <c r="E15" s="126"/>
      <c r="F15" s="112" t="s">
        <v>209</v>
      </c>
      <c r="G15" s="113">
        <v>25000</v>
      </c>
      <c r="L15" s="33">
        <f t="shared" si="0"/>
        <v>0</v>
      </c>
    </row>
    <row r="16" spans="1:12" ht="47.25">
      <c r="A16" s="128"/>
      <c r="B16" s="129"/>
      <c r="C16" s="119"/>
      <c r="D16" s="120"/>
      <c r="E16" s="130"/>
      <c r="F16" s="112" t="s">
        <v>207</v>
      </c>
      <c r="G16" s="113">
        <v>15000</v>
      </c>
      <c r="L16" s="33">
        <f t="shared" si="0"/>
        <v>0</v>
      </c>
    </row>
    <row r="17" spans="1:12" ht="31.5">
      <c r="A17" s="128"/>
      <c r="B17" s="118"/>
      <c r="C17" s="119"/>
      <c r="D17" s="120"/>
      <c r="E17" s="125"/>
      <c r="F17" s="112" t="s">
        <v>211</v>
      </c>
      <c r="G17" s="113">
        <v>30000</v>
      </c>
      <c r="L17" s="33">
        <f t="shared" si="0"/>
        <v>0</v>
      </c>
    </row>
    <row r="18" spans="1:12" ht="31.5">
      <c r="A18" s="30"/>
      <c r="F18" s="112" t="s">
        <v>210</v>
      </c>
      <c r="G18" s="113">
        <v>30000</v>
      </c>
      <c r="L18" s="33">
        <f t="shared" si="0"/>
        <v>0</v>
      </c>
    </row>
    <row r="19" spans="1:12" ht="31.5">
      <c r="A19" s="30"/>
      <c r="F19" s="112" t="s">
        <v>208</v>
      </c>
      <c r="G19" s="113">
        <v>10000</v>
      </c>
      <c r="L19" s="33">
        <f t="shared" si="0"/>
        <v>0</v>
      </c>
    </row>
    <row r="20" spans="1:12" ht="15.75">
      <c r="A20" s="30"/>
      <c r="F20" s="112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47">
        <v>288657.03600000008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288657.03600000008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7">
        <v>184791.48</v>
      </c>
      <c r="C40" s="38" t="s">
        <v>68</v>
      </c>
      <c r="D40" s="39">
        <v>12</v>
      </c>
      <c r="E40" s="34"/>
      <c r="F40" s="31">
        <f>'Абонентский отдел'!F1</f>
        <v>5310.1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184791.48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47">
        <f>1.81*2*$F$40+1.81*10*$F$40</f>
        <v>115335.37200000002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115335.37200000002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47">
        <v>87935.255999999994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87935.255999999994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47">
        <f>1*2*$F$40+1*10*$F$40</f>
        <v>63721.2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63721.2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47">
        <v>179693.78399999999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179693.78399999999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188</v>
      </c>
      <c r="B46" s="147">
        <f>0.25*2*$F$40+0.41*10*$F$40</f>
        <v>24426.46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 и охрана ТП</v>
      </c>
      <c r="N46" s="41">
        <f t="shared" si="4"/>
        <v>24426.46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 t="s">
        <v>189</v>
      </c>
      <c r="B47" s="147">
        <f>0.6*2*$F$40+0.6*10*$F$40</f>
        <v>38232.720000000001</v>
      </c>
      <c r="C47" s="38" t="s">
        <v>68</v>
      </c>
      <c r="D47" s="48">
        <v>12</v>
      </c>
      <c r="E47" s="140">
        <v>1237.5</v>
      </c>
      <c r="F47" s="140">
        <v>962.9</v>
      </c>
      <c r="L47" s="40" t="str">
        <f t="shared" si="2"/>
        <v>СОД</v>
      </c>
      <c r="M47" t="str">
        <f t="shared" si="3"/>
        <v>Техническое обслуживание охранной сигнализации</v>
      </c>
      <c r="N47" s="41">
        <f t="shared" si="4"/>
        <v>38232.720000000001</v>
      </c>
      <c r="O47" s="41" t="str">
        <f t="shared" si="5"/>
        <v>Ежемесячно</v>
      </c>
      <c r="P47">
        <f t="shared" si="6"/>
        <v>12</v>
      </c>
    </row>
    <row r="48" spans="1:16" ht="38.25">
      <c r="A48" s="37" t="s">
        <v>192</v>
      </c>
      <c r="B48" s="147">
        <v>37504.32</v>
      </c>
      <c r="C48" s="141" t="s">
        <v>193</v>
      </c>
      <c r="D48" s="48">
        <v>2</v>
      </c>
      <c r="L48" s="40" t="str">
        <f t="shared" si="2"/>
        <v>СОД</v>
      </c>
      <c r="M48" t="str">
        <f t="shared" si="3"/>
        <v>Вывоз снега с придомовой территории</v>
      </c>
      <c r="N48" s="41">
        <f t="shared" si="4"/>
        <v>37504.32</v>
      </c>
      <c r="O48" s="41" t="str">
        <f t="shared" si="5"/>
        <v>По мере необходимости</v>
      </c>
      <c r="P48">
        <f t="shared" si="6"/>
        <v>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2" t="s">
        <v>181</v>
      </c>
      <c r="F52" s="142" t="s">
        <v>182</v>
      </c>
      <c r="G52" s="142" t="s">
        <v>183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2">
        <v>35.896999999999998</v>
      </c>
      <c r="F53" s="140">
        <v>5310.1</v>
      </c>
      <c r="G53" s="142">
        <v>3.83</v>
      </c>
      <c r="H53" s="142">
        <f>G53*E47/F53</f>
        <v>0.89256793657369915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2"/>
      <c r="F54" s="142" t="s">
        <v>184</v>
      </c>
      <c r="G54" s="142" t="s">
        <v>185</v>
      </c>
      <c r="H54" s="142">
        <f>H53*G56</f>
        <v>56.142523210485678</v>
      </c>
    </row>
    <row r="55" spans="5:16">
      <c r="E55" s="142"/>
      <c r="F55" s="142">
        <v>1.17</v>
      </c>
      <c r="G55" s="142">
        <v>1.23</v>
      </c>
      <c r="H55" s="142"/>
    </row>
    <row r="56" spans="5:16">
      <c r="E56" s="142"/>
      <c r="F56" s="142"/>
      <c r="G56" s="142">
        <v>62.9</v>
      </c>
      <c r="H56" s="142"/>
    </row>
    <row r="57" spans="5:16">
      <c r="E57" s="142"/>
      <c r="F57" s="142"/>
      <c r="G57" s="142"/>
      <c r="H57" s="142"/>
    </row>
    <row r="58" spans="5:16">
      <c r="E58" s="142" t="s">
        <v>186</v>
      </c>
      <c r="F58" s="142"/>
      <c r="G58" s="142"/>
      <c r="H58" s="142"/>
    </row>
    <row r="59" spans="5:16">
      <c r="E59" s="142">
        <v>0.59599999999999997</v>
      </c>
      <c r="F59" s="140">
        <f>F53</f>
        <v>5310.1</v>
      </c>
      <c r="G59" s="142">
        <v>7.4999999999999997E-2</v>
      </c>
      <c r="H59" s="142">
        <f>G59*F47</f>
        <v>72.217500000000001</v>
      </c>
    </row>
    <row r="60" spans="5:16">
      <c r="E60" s="142"/>
      <c r="F60" s="142" t="s">
        <v>184</v>
      </c>
      <c r="G60" s="142" t="s">
        <v>185</v>
      </c>
      <c r="H60" s="142">
        <f>H59/F59</f>
        <v>1.3600026364851886E-2</v>
      </c>
    </row>
    <row r="61" spans="5:16">
      <c r="E61" s="142"/>
      <c r="F61" s="142">
        <v>12.94</v>
      </c>
      <c r="G61" s="142">
        <v>13.45</v>
      </c>
      <c r="H61" s="142">
        <f>H60*G56</f>
        <v>0.85544165834918362</v>
      </c>
    </row>
    <row r="62" spans="5:16">
      <c r="E62" s="142" t="s">
        <v>187</v>
      </c>
      <c r="F62" s="142"/>
      <c r="G62" s="142"/>
      <c r="H62" s="142"/>
    </row>
    <row r="63" spans="5:16">
      <c r="E63" s="142">
        <v>0.59599999999999997</v>
      </c>
      <c r="F63" s="140">
        <f>F53</f>
        <v>5310.1</v>
      </c>
      <c r="G63" s="142">
        <v>7.4999999999999997E-2</v>
      </c>
      <c r="H63" s="142">
        <f>G63*F47</f>
        <v>72.217500000000001</v>
      </c>
    </row>
    <row r="64" spans="5:16">
      <c r="E64" s="142"/>
      <c r="F64" s="142" t="s">
        <v>184</v>
      </c>
      <c r="G64" s="142" t="s">
        <v>185</v>
      </c>
      <c r="H64" s="142">
        <f>H63/F63</f>
        <v>1.3600026364851886E-2</v>
      </c>
    </row>
    <row r="65" spans="4:13" ht="18.75" customHeight="1">
      <c r="E65" s="142"/>
      <c r="F65" s="142">
        <v>15.73</v>
      </c>
      <c r="G65" s="142">
        <v>16.350000000000001</v>
      </c>
      <c r="H65" s="142">
        <f>H64*G56</f>
        <v>0.85544165834918362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1HkH8/r5Nzg7am5F9mwFW+SMN17uf0JSFkZ9XEq3F5uX4K8RXDfjB1K5bjlGcqQTFlj/UOF7MlfJu4cOiuvJew==" saltValue="ho13zQzmcyDkSbGNtyFv3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5310.1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1">
        <v>2.2400000000000002</v>
      </c>
      <c r="F2" s="122" t="s">
        <v>177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21">
        <v>2.2999999999999998</v>
      </c>
      <c r="F3" s="122" t="s">
        <v>180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1008318.25</v>
      </c>
      <c r="D4" s="81" t="s">
        <v>60</v>
      </c>
      <c r="E4" s="61"/>
      <c r="F4" s="61" t="s">
        <v>191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1473476.08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1103893.1200000001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F1*2.3*12</f>
        <v>146558.76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f>3.5*12*F1</f>
        <v>223024.2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1458021.47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1458021.47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1458021.47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1023772.8600000001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7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7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7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7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6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6"/>
      <c r="N26" s="63"/>
    </row>
    <row r="27" spans="1:15" ht="18.75" customHeight="1">
      <c r="A27" s="70" t="s">
        <v>104</v>
      </c>
      <c r="B27" s="75" t="s">
        <v>4</v>
      </c>
      <c r="C27" s="86">
        <v>75950.91</v>
      </c>
      <c r="D27" s="81" t="s">
        <v>60</v>
      </c>
      <c r="E27" s="64"/>
      <c r="F27" s="64"/>
      <c r="G27" s="64"/>
      <c r="H27" s="64"/>
      <c r="I27" s="64"/>
      <c r="J27" s="64"/>
      <c r="M27" s="186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6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6"/>
      <c r="N29" s="63"/>
    </row>
    <row r="30" spans="1:15" ht="18.75" customHeight="1">
      <c r="A30" s="70" t="s">
        <v>107</v>
      </c>
      <c r="B30" s="75" t="s">
        <v>18</v>
      </c>
      <c r="C30" s="86">
        <f>C27+E45+E53-C47-C55-C63</f>
        <v>55980.930000000131</v>
      </c>
      <c r="D30" s="81" t="s">
        <v>66</v>
      </c>
      <c r="E30" s="64"/>
      <c r="F30" s="64"/>
      <c r="G30" s="64"/>
      <c r="H30" s="64"/>
      <c r="I30" s="64"/>
      <c r="J30" s="64"/>
      <c r="M30" s="186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6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6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6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6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85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85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85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5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146"/>
      <c r="G41" s="67"/>
      <c r="H41" s="67"/>
      <c r="L41" s="63"/>
      <c r="M41" s="185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146"/>
      <c r="G42" s="67"/>
      <c r="H42" s="67"/>
      <c r="L42" s="63"/>
      <c r="M42" s="185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146"/>
      <c r="G43" s="67"/>
      <c r="H43" s="67"/>
      <c r="L43" s="63"/>
      <c r="M43" s="185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5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244919.25</v>
      </c>
      <c r="F45" s="94" t="s">
        <v>166</v>
      </c>
      <c r="G45" s="66"/>
      <c r="H45" s="66"/>
      <c r="L45" s="63"/>
      <c r="M45" s="185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f>E45/15.95</f>
        <v>15355.438871473354</v>
      </c>
      <c r="D46" s="94" t="s">
        <v>167</v>
      </c>
      <c r="E46" s="68"/>
      <c r="G46" s="67"/>
      <c r="H46" s="67"/>
      <c r="L46" s="63"/>
      <c r="M46" s="185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254149.72</v>
      </c>
      <c r="D47" s="94" t="s">
        <v>165</v>
      </c>
      <c r="E47" s="68"/>
      <c r="G47" s="67"/>
      <c r="H47" s="67"/>
      <c r="L47" s="63"/>
      <c r="M47" s="185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5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244919.25</v>
      </c>
      <c r="D49" s="80" t="s">
        <v>59</v>
      </c>
      <c r="E49" s="68"/>
      <c r="G49" s="67"/>
      <c r="H49" s="67"/>
      <c r="L49" s="63"/>
      <c r="M49" s="185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244919.25</v>
      </c>
      <c r="D50" s="80" t="s">
        <v>59</v>
      </c>
      <c r="E50" s="68"/>
      <c r="G50" s="67"/>
      <c r="H50" s="67"/>
      <c r="L50" s="63"/>
      <c r="M50" s="185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5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5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264184.17</v>
      </c>
      <c r="F53" s="94" t="s">
        <v>166</v>
      </c>
      <c r="G53" s="66"/>
      <c r="H53" s="66"/>
      <c r="L53" s="63"/>
      <c r="M53" s="185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f>E53/19.39</f>
        <v>13624.763795771014</v>
      </c>
      <c r="D54" s="94" t="s">
        <v>167</v>
      </c>
      <c r="E54" s="69"/>
      <c r="F54" s="89"/>
      <c r="G54" s="64"/>
      <c r="H54" s="64"/>
      <c r="L54" s="63"/>
      <c r="M54" s="185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274819.96999999997</v>
      </c>
      <c r="D55" s="94" t="s">
        <v>165</v>
      </c>
      <c r="E55" s="69"/>
      <c r="G55" s="64"/>
      <c r="H55" s="64"/>
      <c r="L55" s="63"/>
      <c r="M55" s="185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5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264184.17</v>
      </c>
      <c r="D57" s="80" t="s">
        <v>59</v>
      </c>
      <c r="E57" s="69"/>
      <c r="G57" s="64"/>
      <c r="H57" s="64"/>
      <c r="L57" s="63"/>
      <c r="M57" s="185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264184.17</v>
      </c>
      <c r="D58" s="80" t="s">
        <v>59</v>
      </c>
      <c r="E58" s="69"/>
      <c r="G58" s="64"/>
      <c r="H58" s="64"/>
      <c r="L58" s="63"/>
      <c r="M58" s="185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5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103.71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2025-03-18T01:23:51Z</dcterms:modified>
</cp:coreProperties>
</file>