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G1" i="2" l="1"/>
  <c r="H63" i="2" l="1"/>
  <c r="F63" i="2"/>
  <c r="H59" i="2"/>
  <c r="F59" i="2"/>
  <c r="H60" i="2" s="1"/>
  <c r="H61" i="2" s="1"/>
  <c r="H53" i="2"/>
  <c r="H54" i="2" s="1"/>
  <c r="H64" i="2" l="1"/>
  <c r="H65" i="2" s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G94" i="1"/>
  <c r="K94" i="1"/>
  <c r="A98" i="1" l="1"/>
  <c r="A105" i="1"/>
  <c r="F102" i="1"/>
  <c r="A113" i="1"/>
  <c r="A94" i="1"/>
  <c r="A95" i="1"/>
  <c r="A99" i="1"/>
  <c r="D94" i="1"/>
  <c r="A96" i="1"/>
  <c r="A100" i="1"/>
  <c r="F94" i="1"/>
  <c r="A97" i="1"/>
  <c r="A114" i="1"/>
  <c r="A123" i="1"/>
  <c r="A119" i="1"/>
  <c r="F110" i="1"/>
  <c r="A117" i="1"/>
  <c r="A118" i="1"/>
  <c r="D118" i="1"/>
  <c r="A120" i="1"/>
  <c r="A124" i="1"/>
  <c r="A110" i="1"/>
  <c r="A111" i="1"/>
  <c r="A115" i="1"/>
  <c r="F118" i="1"/>
  <c r="A121" i="1"/>
  <c r="A125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86" i="1"/>
  <c r="H173" i="1"/>
  <c r="H172" i="1"/>
  <c r="F164" i="1"/>
  <c r="F172" i="1"/>
  <c r="H170" i="1"/>
  <c r="F175" i="1"/>
  <c r="H167" i="1"/>
  <c r="H180" i="1"/>
  <c r="H175" i="1"/>
  <c r="F177" i="1"/>
  <c r="F167" i="1"/>
  <c r="F169" i="1"/>
  <c r="H169" i="1"/>
  <c r="H164" i="1"/>
  <c r="H187" i="1"/>
  <c r="F165" i="1"/>
  <c r="H166" i="1"/>
  <c r="F176" i="1"/>
  <c r="F178" i="1"/>
  <c r="H178" i="1"/>
  <c r="F171" i="1"/>
  <c r="F173" i="1"/>
  <c r="H176" i="1"/>
  <c r="F170" i="1"/>
  <c r="H165" i="1"/>
  <c r="H171" i="1"/>
  <c r="F180" i="1"/>
  <c r="F187" i="1"/>
  <c r="H179" i="1"/>
  <c r="F182" i="1"/>
  <c r="H182" i="1"/>
  <c r="F168" i="1"/>
  <c r="F179" i="1"/>
  <c r="H168" i="1"/>
  <c r="F181" i="1"/>
  <c r="H184" i="1"/>
  <c r="F186" i="1"/>
  <c r="H181" i="1"/>
  <c r="F184" i="1"/>
  <c r="F185" i="1"/>
  <c r="H185" i="1"/>
  <c r="F166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<sst xmlns="http://schemas.openxmlformats.org/spreadsheetml/2006/main" count="577" uniqueCount="222">
  <si>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</si>
  <si>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</si>
  <si>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</si>
  <si>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</si>
  <si>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</si>
  <si>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</si>
  <si>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</si>
  <si>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</si>
  <si>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</si>
  <si>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</si>
  <si>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</si>
  <si>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</si>
  <si>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</si>
  <si>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</si>
  <si>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</si>
  <si>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</si>
  <si>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</si>
  <si>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</si>
  <si>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</si>
  <si>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</si>
  <si>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</si>
  <si>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</si>
  <si>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</si>
  <si>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</si>
  <si>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</si>
  <si>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</si>
  <si>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</si>
  <si>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</si>
  <si>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</si>
  <si>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</si>
  <si>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</si>
  <si>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</si>
  <si>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</si>
  <si>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</si>
  <si>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</si>
  <si>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</si>
  <si>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</si>
  <si>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</si>
  <si>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</si>
  <si>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</si>
  <si>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</si>
  <si>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</si>
  <si>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</si>
  <si>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</si>
  <si>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</si>
  <si>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</si>
  <si>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</si>
  <si>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</si>
  <si>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</si>
  <si>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</si>
  <si>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</si>
  <si>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</si>
  <si>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</si>
  <si>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</si>
  <si>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</si>
  <si>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</si>
  <si>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</si>
  <si>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</si>
  <si>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</si>
  <si>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</si>
  <si>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</si>
  <si>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</si>
  <si>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</si>
  <si>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</si>
  <si>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</si>
  <si>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</si>
  <si>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</si>
  <si>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</si>
  <si>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</si>
  <si>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</si>
  <si>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</si>
  <si>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</si>
  <si>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</si>
  <si>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</si>
  <si>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</si>
  <si>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</si>
  <si>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</si>
  <si>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</si>
  <si>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</si>
  <si>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</si>
  <si>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</si>
  <si>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</si>
  <si>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</si>
  <si>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</si>
  <si>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</si>
  <si>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</si>
  <si>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</si>
  <si>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</si>
  <si>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</si>
  <si>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</si>
  <si>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</si>
  <si>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</si>
  <si>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</si>
  <si>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</si>
  <si>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</si>
  <si>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</si>
  <si>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</si>
  <si>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</si>
  <si>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</si>
  <si>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</si>
  <si>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</si>
  <si>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</si>
  <si>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</si>
  <si>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</si>
  <si>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</si>
  <si>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</si>
  <si>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</si>
  <si>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</si>
  <si>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</si>
  <si>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</si>
  <si>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</si>
  <si>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</si>
  <si>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</si>
  <si>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</si>
  <si>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</si>
  <si>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</si>
  <si>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</si>
  <si>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</si>
  <si>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</si>
  <si>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</si>
  <si>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</si>
  <si>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</si>
  <si>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</si>
  <si>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</si>
  <si>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</si>
  <si>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</si>
  <si>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</si>
  <si>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</si>
  <si>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</si>
  <si>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</si>
  <si>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</si>
  <si>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</si>
  <si>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</si>
  <si>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</si>
  <si>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</si>
  <si>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</si>
  <si>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</si>
  <si>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</si>
  <si>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</si>
  <si>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</si>
  <si>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</si>
  <si>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</si>
  <si>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</si>
  <si>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</si>
  <si>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</si>
  <si>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</si>
  <si>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</si>
  <si>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</si>
  <si>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</si>
  <si>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</si>
  <si>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</si>
  <si>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</si>
  <si>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</si>
  <si>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</si>
  <si>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</si>
  <si>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</si>
  <si>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</si>
  <si>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</si>
  <si>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</si>
  <si>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</si>
  <si>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</si>
  <si>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</si>
  <si>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</si>
  <si>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</si>
  <si>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</si>
  <si>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</si>
  <si>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</si>
  <si>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</si>
  <si>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</si>
  <si>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</si>
  <si>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</si>
  <si>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</si>
  <si>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</si>
  <si>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</si>
  <si>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</si>
  <si>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315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</si>
  <si>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</si>
  <si>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</si>
  <si>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</si>
  <si>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</si>
  <si>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</si>
  <si>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с 01.09.2019 приказ №29 от 29.08.2019, протокол №2 от 19.08.2019</t>
  </si>
  <si>
    <t xml:space="preserve">  -  техническое освидетельствование лифтов</t>
  </si>
  <si>
    <t>Техническое освидетельствование лифтов.</t>
  </si>
  <si>
    <t xml:space="preserve">  -  техническое обслуживание охранной сигнализации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</si>
  <si>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</si>
  <si>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315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</si>
  <si>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</si>
  <si>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</si>
  <si>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</si>
  <si>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</si>
  <si>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</si>
  <si>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</si>
  <si>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</si>
  <si>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</si>
  <si>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</si>
  <si>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>разово</t>
  </si>
  <si>
    <t>Механизированная уборка и вывоз снега с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</si>
  <si>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</si>
  <si>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</si>
  <si>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</si>
  <si>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</si>
  <si>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</si>
  <si>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монтаж светодиодных светильников в подъезде (60 шт.).</t>
  </si>
  <si>
    <t>Ремонт подъезда (цокольный этаж).</t>
  </si>
  <si>
    <t>АВР 1/24 от 29.08.2024, счет №12 от 12.02.2024</t>
  </si>
  <si>
    <t>АВР 2/24 от 29.08.2029, Решение, счет №135 от 07.12.2023</t>
  </si>
  <si>
    <t>Ремонт повысительного насоса ХВС (замена торцевого уплотнителя).</t>
  </si>
  <si>
    <t>Ремонт повысительного насоса ХВС (восстановление рабочего колеса).</t>
  </si>
  <si>
    <t>АВР 3/24 от 10.06.2024, Решение, счет №44 от 24.04.2024, №33747 от 21.11.2023</t>
  </si>
  <si>
    <t>АВР 5/24 от 20.09.2024, Решение, счет №ЭГ-31250 от 28.08.2024</t>
  </si>
  <si>
    <t>АВР 4/24 от 10.11.2024, счет №105 от09.08.2024</t>
  </si>
  <si>
    <t>АВР 6/24 от 30.12.2024</t>
  </si>
  <si>
    <t>АВР 7/24 от 30.12.2024</t>
  </si>
  <si>
    <t>АВР 8/24 от 30.12.2024</t>
  </si>
  <si>
    <t xml:space="preserve">  -  покраска металлического ограждения кровли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</si>
  <si>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</si>
  <si>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ремонт асфальтного покрытия (трещины, ямы)  специализированной организацией</t>
  </si>
  <si>
    <t xml:space="preserve">  -  замена уличных светильников, монтаж дополнительных уличных светодиодных светильников за домами </t>
  </si>
  <si>
    <t xml:space="preserve">  -  приобретение малых игровых форм для детской площадки</t>
  </si>
  <si>
    <t xml:space="preserve">  -  ремонт подъезда (ремонт цокольного и 1-го этажей с укладкой плитки на стены)</t>
  </si>
  <si>
    <t xml:space="preserve">  - 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</si>
</sst>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5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208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0" fontId="40" fillId="0" borderId="0" xfId="0" applyFont="1" applyFill="1" applyBorder="1" applyAlignment="1">
      <alignment horizontal="left" vertical="center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0" fontId="22" fillId="0" borderId="0" xfId="5" applyFill="1" applyBorder="1" applyAlignment="1">
      <alignment horizontal="center"/>
    </xf>
    <xf numFmtId="4" fontId="36" fillId="0" borderId="0" xfId="5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21" fillId="0" borderId="0" xfId="6" applyFill="1" applyBorder="1" applyAlignment="1">
      <alignment horizontal="center"/>
    </xf>
    <xf numFmtId="4" fontId="36" fillId="0" borderId="0" xfId="0" applyNumberFormat="1" applyFont="1" applyFill="1" applyBorder="1" applyAlignment="1">
      <alignment horizontal="left"/>
    </xf>
    <xf numFmtId="0" fontId="36" fillId="0" borderId="0" xfId="6" applyFont="1" applyFill="1" applyBorder="1" applyAlignment="1">
      <alignment horizontal="center"/>
    </xf>
    <xf numFmtId="4" fontId="36" fillId="0" borderId="0" xfId="6" applyNumberFormat="1" applyFont="1" applyFill="1" applyBorder="1" applyAlignment="1"/>
    <xf numFmtId="2" fontId="0" fillId="0" borderId="0" xfId="0" applyNumberFormat="1" applyFill="1" applyBorder="1" applyAlignment="1"/>
    <xf numFmtId="0" fontId="20" fillId="0" borderId="0" xfId="8" applyFont="1" applyFill="1" applyBorder="1" applyAlignment="1"/>
    <xf numFmtId="0" fontId="20" fillId="0" borderId="0" xfId="1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36" fillId="0" borderId="0" xfId="11" applyNumberFormat="1" applyFont="1" applyFill="1" applyBorder="1" applyAlignment="1"/>
    <xf numFmtId="0" fontId="19" fillId="0" borderId="0" xfId="2" applyFont="1" applyFill="1" applyBorder="1" applyAlignment="1"/>
    <xf numFmtId="0" fontId="0" fillId="0" borderId="0" xfId="0" applyFill="1"/>
    <xf numFmtId="4" fontId="36" fillId="0" borderId="0" xfId="31" applyNumberFormat="1" applyFont="1" applyFill="1" applyBorder="1" applyAlignment="1"/>
    <xf numFmtId="0" fontId="46" fillId="0" borderId="0" xfId="30" applyFont="1" applyFill="1" applyBorder="1" applyAlignment="1"/>
    <xf numFmtId="0" fontId="16" fillId="0" borderId="0" xfId="31" applyFont="1" applyFill="1" applyBorder="1" applyAlignment="1">
      <alignment horizontal="center"/>
    </xf>
    <xf numFmtId="0" fontId="16" fillId="0" borderId="0" xfId="31" applyFill="1" applyBorder="1" applyAlignment="1">
      <alignment horizontal="center"/>
    </xf>
    <xf numFmtId="4" fontId="16" fillId="0" borderId="0" xfId="31" applyNumberFormat="1" applyFill="1" applyBorder="1" applyAlignment="1"/>
    <xf numFmtId="0" fontId="29" fillId="0" borderId="0" xfId="0" applyFont="1" applyFill="1" applyAlignment="1">
      <alignment wrapText="1"/>
    </xf>
    <xf numFmtId="4" fontId="36" fillId="0" borderId="0" xfId="5" applyNumberFormat="1" applyFont="1" applyFill="1" applyBorder="1" applyAlignment="1">
      <alignment horizontal="left"/>
    </xf>
    <xf numFmtId="0" fontId="15" fillId="0" borderId="0" xfId="5" applyFont="1" applyFill="1" applyBorder="1" applyAlignment="1"/>
    <xf numFmtId="0" fontId="15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8" fillId="3" borderId="0" xfId="34" applyNumberFormat="1" applyFont="1" applyFill="1" applyBorder="1" applyAlignment="1">
      <alignment horizontal="left" vertical="center" wrapText="1"/>
    </xf>
    <xf numFmtId="4" fontId="47" fillId="0" borderId="0" xfId="0" applyNumberFormat="1" applyFont="1"/>
    <xf numFmtId="0" fontId="0" fillId="0" borderId="0" xfId="0" applyBorder="1" applyAlignment="1">
      <alignment horizontal="center"/>
    </xf>
    <xf numFmtId="4" fontId="28" fillId="0" borderId="0" xfId="1" applyNumberFormat="1" applyFont="1" applyBorder="1" applyAlignment="1" applyProtection="1">
      <alignment horizontal="center" vertical="center" wrapText="1"/>
      <protection locked="0"/>
    </xf>
    <xf numFmtId="0" fontId="9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 applyAlignment="1"/>
    <xf numFmtId="0" fontId="0" fillId="0" borderId="0" xfId="0" applyFill="1"/>
    <xf numFmtId="0" fontId="5" fillId="0" borderId="0" xfId="72" applyFont="1" applyFill="1" applyBorder="1" applyAlignment="1">
      <alignment wrapText="1"/>
    </xf>
    <xf numFmtId="0" fontId="5" fillId="0" borderId="0" xfId="72" applyFont="1" applyFill="1" applyBorder="1" applyAlignment="1">
      <alignment horizontal="center"/>
    </xf>
    <xf numFmtId="1" fontId="10" fillId="0" borderId="0" xfId="72" applyNumberFormat="1" applyFill="1" applyBorder="1" applyAlignment="1">
      <alignment horizontal="center"/>
    </xf>
    <xf numFmtId="4" fontId="36" fillId="0" borderId="0" xfId="17" applyNumberFormat="1" applyFont="1" applyFill="1" applyBorder="1" applyAlignment="1"/>
    <xf numFmtId="0" fontId="7" fillId="0" borderId="0" xfId="105" applyFont="1" applyFill="1" applyBorder="1" applyAlignment="1"/>
    <xf numFmtId="0" fontId="8" fillId="0" borderId="0" xfId="106" applyFont="1" applyFill="1" applyBorder="1" applyAlignment="1">
      <alignment horizontal="center"/>
    </xf>
    <xf numFmtId="0" fontId="8" fillId="0" borderId="0" xfId="106" applyFill="1" applyBorder="1" applyAlignment="1">
      <alignment horizontal="center"/>
    </xf>
    <xf numFmtId="4" fontId="0" fillId="0" borderId="0" xfId="0" applyNumberFormat="1" applyFill="1" applyBorder="1"/>
    <xf numFmtId="0" fontId="0" fillId="0" borderId="0" xfId="0" applyFont="1" applyFill="1"/>
    <xf numFmtId="0" fontId="4" fillId="0" borderId="0" xfId="192" applyFont="1" applyFill="1" applyBorder="1" applyAlignment="1"/>
    <xf numFmtId="0" fontId="4" fillId="0" borderId="0" xfId="192" applyFont="1" applyFill="1" applyBorder="1" applyAlignment="1">
      <alignment horizontal="center"/>
    </xf>
    <xf numFmtId="0" fontId="6" fillId="0" borderId="0" xfId="192" applyFill="1" applyBorder="1" applyAlignment="1">
      <alignment horizontal="center"/>
    </xf>
    <xf numFmtId="4" fontId="36" fillId="0" borderId="0" xfId="192" applyNumberFormat="1" applyFont="1" applyFill="1" applyBorder="1" applyAlignment="1"/>
    <xf numFmtId="4" fontId="36" fillId="0" borderId="0" xfId="192" applyNumberFormat="1" applyFont="1" applyFill="1" applyBorder="1" applyAlignment="1">
      <alignment horizontal="left"/>
    </xf>
    <xf numFmtId="0" fontId="2" fillId="0" borderId="0" xfId="6" applyFont="1" applyFill="1" applyBorder="1" applyAlignment="1"/>
    <xf numFmtId="0" fontId="3" fillId="0" borderId="0" xfId="6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9" fillId="0" borderId="0" xfId="5" applyFont="1" applyFill="1" applyBorder="1" applyAlignment="1"/>
    <xf numFmtId="0" fontId="36" fillId="0" borderId="0" xfId="5" applyFont="1" applyFill="1" applyBorder="1" applyAlignment="1">
      <alignment horizontal="center"/>
    </xf>
    <xf numFmtId="0" fontId="1" fillId="0" borderId="0" xfId="5" applyFont="1" applyFill="1" applyBorder="1"/>
    <xf numFmtId="0" fontId="22" fillId="0" borderId="0" xfId="5" applyFill="1" applyBorder="1" applyAlignment="1"/>
    <xf numFmtId="4" fontId="22" fillId="0" borderId="0" xfId="5" applyNumberFormat="1" applyFill="1" applyBorder="1" applyAlignment="1"/>
    <xf numFmtId="0" fontId="36" fillId="0" borderId="0" xfId="5" applyFont="1" applyFill="1" applyBorder="1" applyAlignment="1"/>
    <xf numFmtId="0" fontId="36" fillId="0" borderId="0" xfId="5" applyFont="1" applyFill="1" applyBorder="1"/>
    <xf numFmtId="0" fontId="26" fillId="0" borderId="0" xfId="0" applyFont="1" applyFill="1" applyBorder="1" applyAlignment="1">
      <alignment horizontal="left" wrapText="1"/>
    </xf>
    <xf numFmtId="0" fontId="28" fillId="0" borderId="1" xfId="1" applyFont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28" fillId="3" borderId="1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center" vertical="center"/>
    </xf>
    <xf numFmtId="4" fontId="30" fillId="0" borderId="1" xfId="1" applyNumberFormat="1" applyFont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8" fillId="3" borderId="1" xfId="0" applyFont="1" applyFill="1" applyBorder="1" applyAlignment="1">
      <alignment horizontal="center" vertical="center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28" fillId="0" borderId="1" xfId="0" applyFont="1" applyBorder="1" applyAlignment="1">
      <alignment horizontal="left" wrapText="1"/>
    </xf>
    <xf numFmtId="0" fontId="28" fillId="0" borderId="1" xfId="1" applyFont="1" applyBorder="1" applyAlignment="1">
      <alignment horizontal="left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195">
    <cellStyle name="Обычный" xfId="0" builtinId="0"/>
    <cellStyle name="Обычный 2" xfId="1"/>
    <cellStyle name="Обычный 2 10" xfId="127"/>
    <cellStyle name="Обычный 2 2" xfId="3"/>
    <cellStyle name="Обычный 2 3" xfId="7"/>
    <cellStyle name="Обычный 2 3 2" xfId="26"/>
    <cellStyle name="Обычный 2 3 2 2" xfId="49"/>
    <cellStyle name="Обычный 2 3 2 2 2" xfId="172"/>
    <cellStyle name="Обычный 2 3 2 3" xfId="82"/>
    <cellStyle name="Обычный 2 3 2 4" xfId="112"/>
    <cellStyle name="Обычный 2 3 2 5" xfId="142"/>
    <cellStyle name="Обычный 2 3 3" xfId="19"/>
    <cellStyle name="Обычный 2 3 3 2" xfId="56"/>
    <cellStyle name="Обычный 2 3 3 2 2" xfId="182"/>
    <cellStyle name="Обычный 2 3 3 3" xfId="89"/>
    <cellStyle name="Обычный 2 3 3 4" xfId="122"/>
    <cellStyle name="Обычный 2 3 3 5" xfId="149"/>
    <cellStyle name="Обычный 2 3 4" xfId="33"/>
    <cellStyle name="Обычный 2 3 4 2" xfId="63"/>
    <cellStyle name="Обычный 2 3 4 3" xfId="156"/>
    <cellStyle name="Обычный 2 3 5" xfId="42"/>
    <cellStyle name="Обычный 2 3 5 2" xfId="193"/>
    <cellStyle name="Обычный 2 3 6" xfId="73"/>
    <cellStyle name="Обычный 2 3 7" xfId="96"/>
    <cellStyle name="Обычный 2 3 8" xfId="133"/>
    <cellStyle name="Обычный 2 4" xfId="20"/>
    <cellStyle name="Обычный 2 4 2" xfId="43"/>
    <cellStyle name="Обычный 2 4 2 2" xfId="108"/>
    <cellStyle name="Обычный 2 4 2 3" xfId="168"/>
    <cellStyle name="Обычный 2 4 3" xfId="76"/>
    <cellStyle name="Обычный 2 4 3 2" xfId="160"/>
    <cellStyle name="Обычный 2 4 4" xfId="100"/>
    <cellStyle name="Обычный 2 4 5" xfId="136"/>
    <cellStyle name="Обычный 2 5" xfId="13"/>
    <cellStyle name="Обычный 2 5 2" xfId="34"/>
    <cellStyle name="Обычный 2 5 2 2" xfId="66"/>
    <cellStyle name="Обычный 2 5 2 2 2" xfId="186"/>
    <cellStyle name="Обычный 2 5 2 3" xfId="90"/>
    <cellStyle name="Обычный 2 5 2 3 2" xfId="194"/>
    <cellStyle name="Обычный 2 5 2 4" xfId="126"/>
    <cellStyle name="Обычный 2 5 2 5" xfId="150"/>
    <cellStyle name="Обычный 2 5 3" xfId="50"/>
    <cellStyle name="Обычный 2 5 3 2" xfId="164"/>
    <cellStyle name="Обычный 2 5 4" xfId="83"/>
    <cellStyle name="Обычный 2 5 5" xfId="104"/>
    <cellStyle name="Обычный 2 5 6" xfId="143"/>
    <cellStyle name="Обычный 2 6" xfId="27"/>
    <cellStyle name="Обычный 2 6 2" xfId="57"/>
    <cellStyle name="Обычный 2 6 3" xfId="116"/>
    <cellStyle name="Обычный 2 6 4" xfId="176"/>
    <cellStyle name="Обычный 2 7" xfId="36"/>
    <cellStyle name="Обычный 2 7 2" xfId="152"/>
    <cellStyle name="Обычный 2 8" xfId="67"/>
    <cellStyle name="Обычный 2 8 2" xfId="187"/>
    <cellStyle name="Обычный 2 9" xfId="92"/>
    <cellStyle name="Обычный 3" xfId="2"/>
    <cellStyle name="Обычный 3 2" xfId="8"/>
    <cellStyle name="Обычный 3 2 2" xfId="21"/>
    <cellStyle name="Обычный 3 2 2 2" xfId="113"/>
    <cellStyle name="Обычный 3 2 2 3" xfId="173"/>
    <cellStyle name="Обычный 3 2 3" xfId="44"/>
    <cellStyle name="Обычный 3 2 3 2" xfId="157"/>
    <cellStyle name="Обычный 3 2 4" xfId="77"/>
    <cellStyle name="Обычный 3 2 5" xfId="97"/>
    <cellStyle name="Обычный 3 2 6" xfId="137"/>
    <cellStyle name="Обычный 3 3" xfId="14"/>
    <cellStyle name="Обычный 3 3 2" xfId="51"/>
    <cellStyle name="Обычный 3 3 2 2" xfId="109"/>
    <cellStyle name="Обычный 3 3 2 3" xfId="169"/>
    <cellStyle name="Обычный 3 3 3" xfId="84"/>
    <cellStyle name="Обычный 3 3 3 2" xfId="161"/>
    <cellStyle name="Обычный 3 3 4" xfId="101"/>
    <cellStyle name="Обычный 3 3 5" xfId="144"/>
    <cellStyle name="Обычный 3 4" xfId="28"/>
    <cellStyle name="Обычный 3 4 2" xfId="58"/>
    <cellStyle name="Обычный 3 4 3" xfId="105"/>
    <cellStyle name="Обычный 3 4 4" xfId="165"/>
    <cellStyle name="Обычный 3 5" xfId="37"/>
    <cellStyle name="Обычный 3 5 2" xfId="117"/>
    <cellStyle name="Обычный 3 5 3" xfId="177"/>
    <cellStyle name="Обычный 3 6" xfId="64"/>
    <cellStyle name="Обычный 3 6 2" xfId="153"/>
    <cellStyle name="Обычный 3 7" xfId="68"/>
    <cellStyle name="Обычный 3 7 2" xfId="188"/>
    <cellStyle name="Обычный 3 8" xfId="93"/>
    <cellStyle name="Обычный 3 9" xfId="128"/>
    <cellStyle name="Обычный 4" xfId="4"/>
    <cellStyle name="Обычный 4 2" xfId="6"/>
    <cellStyle name="Обычный 4 2 2" xfId="11"/>
    <cellStyle name="Обычный 4 2 2 2" xfId="24"/>
    <cellStyle name="Обычный 4 2 2 2 2" xfId="174"/>
    <cellStyle name="Обычный 4 2 2 3" xfId="47"/>
    <cellStyle name="Обычный 4 2 2 4" xfId="75"/>
    <cellStyle name="Обычный 4 2 2 5" xfId="114"/>
    <cellStyle name="Обычный 4 2 2 6" xfId="135"/>
    <cellStyle name="Обычный 4 2 3" xfId="17"/>
    <cellStyle name="Обычный 4 2 3 2" xfId="65"/>
    <cellStyle name="Обычный 4 2 3 2 2" xfId="185"/>
    <cellStyle name="Обычный 4 2 3 3" xfId="54"/>
    <cellStyle name="Обычный 4 2 3 3 2" xfId="91"/>
    <cellStyle name="Обычный 4 2 3 3 3" xfId="151"/>
    <cellStyle name="Обычный 4 2 3 4" xfId="80"/>
    <cellStyle name="Обычный 4 2 3 5" xfId="125"/>
    <cellStyle name="Обычный 4 2 3 6" xfId="140"/>
    <cellStyle name="Обычный 4 2 4" xfId="31"/>
    <cellStyle name="Обычный 4 2 4 2" xfId="61"/>
    <cellStyle name="Обычный 4 2 4 2 2" xfId="180"/>
    <cellStyle name="Обычный 4 2 4 3" xfId="87"/>
    <cellStyle name="Обычный 4 2 4 4" xfId="120"/>
    <cellStyle name="Обычный 4 2 4 5" xfId="147"/>
    <cellStyle name="Обычный 4 2 5" xfId="40"/>
    <cellStyle name="Обычный 4 2 5 2" xfId="124"/>
    <cellStyle name="Обычный 4 2 5 3" xfId="184"/>
    <cellStyle name="Обычный 4 2 6" xfId="71"/>
    <cellStyle name="Обычный 4 2 6 2" xfId="158"/>
    <cellStyle name="Обычный 4 2 7" xfId="98"/>
    <cellStyle name="Обычный 4 2 7 2" xfId="191"/>
    <cellStyle name="Обычный 4 2 8" xfId="131"/>
    <cellStyle name="Обычный 4 3" xfId="9"/>
    <cellStyle name="Обычный 4 3 2" xfId="22"/>
    <cellStyle name="Обычный 4 3 2 2" xfId="110"/>
    <cellStyle name="Обычный 4 3 2 3" xfId="170"/>
    <cellStyle name="Обычный 4 3 3" xfId="45"/>
    <cellStyle name="Обычный 4 3 3 2" xfId="162"/>
    <cellStyle name="Обычный 4 3 4" xfId="78"/>
    <cellStyle name="Обычный 4 3 5" xfId="102"/>
    <cellStyle name="Обычный 4 3 6" xfId="138"/>
    <cellStyle name="Обычный 4 4" xfId="15"/>
    <cellStyle name="Обычный 4 4 2" xfId="52"/>
    <cellStyle name="Обычный 4 4 2 2" xfId="166"/>
    <cellStyle name="Обычный 4 4 3" xfId="85"/>
    <cellStyle name="Обычный 4 4 4" xfId="106"/>
    <cellStyle name="Обычный 4 4 5" xfId="145"/>
    <cellStyle name="Обычный 4 5" xfId="29"/>
    <cellStyle name="Обычный 4 5 2" xfId="59"/>
    <cellStyle name="Обычный 4 5 3" xfId="118"/>
    <cellStyle name="Обычный 4 5 4" xfId="178"/>
    <cellStyle name="Обычный 4 6" xfId="38"/>
    <cellStyle name="Обычный 4 6 2" xfId="154"/>
    <cellStyle name="Обычный 4 7" xfId="69"/>
    <cellStyle name="Обычный 4 7 2" xfId="189"/>
    <cellStyle name="Обычный 4 8" xfId="94"/>
    <cellStyle name="Обычный 4 9" xfId="129"/>
    <cellStyle name="Обычный 5" xfId="5"/>
    <cellStyle name="Обычный 5 10" xfId="130"/>
    <cellStyle name="Обычный 5 2" xfId="10"/>
    <cellStyle name="Обычный 5 2 2" xfId="23"/>
    <cellStyle name="Обычный 5 2 2 2" xfId="115"/>
    <cellStyle name="Обычный 5 2 2 3" xfId="175"/>
    <cellStyle name="Обычный 5 2 3" xfId="46"/>
    <cellStyle name="Обычный 5 2 3 2" xfId="159"/>
    <cellStyle name="Обычный 5 2 4" xfId="74"/>
    <cellStyle name="Обычный 5 2 5" xfId="99"/>
    <cellStyle name="Обычный 5 2 6" xfId="134"/>
    <cellStyle name="Обычный 5 3" xfId="12"/>
    <cellStyle name="Обычный 5 3 2" xfId="25"/>
    <cellStyle name="Обычный 5 3 2 2" xfId="48"/>
    <cellStyle name="Обычный 5 3 2 2 2" xfId="171"/>
    <cellStyle name="Обычный 5 3 2 3" xfId="81"/>
    <cellStyle name="Обычный 5 3 2 4" xfId="111"/>
    <cellStyle name="Обычный 5 3 2 5" xfId="141"/>
    <cellStyle name="Обычный 5 3 3" xfId="18"/>
    <cellStyle name="Обычный 5 3 3 2" xfId="55"/>
    <cellStyle name="Обычный 5 3 3 2 2" xfId="181"/>
    <cellStyle name="Обычный 5 3 3 3" xfId="88"/>
    <cellStyle name="Обычный 5 3 3 4" xfId="121"/>
    <cellStyle name="Обычный 5 3 3 5" xfId="148"/>
    <cellStyle name="Обычный 5 3 4" xfId="32"/>
    <cellStyle name="Обычный 5 3 4 2" xfId="62"/>
    <cellStyle name="Обычный 5 3 4 3" xfId="163"/>
    <cellStyle name="Обычный 5 3 5" xfId="41"/>
    <cellStyle name="Обычный 5 3 5 2" xfId="192"/>
    <cellStyle name="Обычный 5 3 6" xfId="72"/>
    <cellStyle name="Обычный 5 3 7" xfId="103"/>
    <cellStyle name="Обычный 5 3 8" xfId="132"/>
    <cellStyle name="Обычный 5 4" xfId="16"/>
    <cellStyle name="Обычный 5 4 2" xfId="53"/>
    <cellStyle name="Обычный 5 4 2 2" xfId="167"/>
    <cellStyle name="Обычный 5 4 3" xfId="79"/>
    <cellStyle name="Обычный 5 4 4" xfId="107"/>
    <cellStyle name="Обычный 5 4 5" xfId="139"/>
    <cellStyle name="Обычный 5 5" xfId="30"/>
    <cellStyle name="Обычный 5 5 2" xfId="60"/>
    <cellStyle name="Обычный 5 5 2 2" xfId="179"/>
    <cellStyle name="Обычный 5 5 3" xfId="86"/>
    <cellStyle name="Обычный 5 5 4" xfId="119"/>
    <cellStyle name="Обычный 5 5 5" xfId="146"/>
    <cellStyle name="Обычный 5 6" xfId="35"/>
    <cellStyle name="Обычный 5 6 2" xfId="123"/>
    <cellStyle name="Обычный 5 6 3" xfId="183"/>
    <cellStyle name="Обычный 5 7" xfId="39"/>
    <cellStyle name="Обычный 5 7 2" xfId="155"/>
    <cellStyle name="Обычный 5 8" xfId="70"/>
    <cellStyle name="Обычный 5 8 2" xfId="190"/>
    <cellStyle name="Обычный 5 9" xfId="9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14" sqref="F2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4" t="s">
        <v>175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187</v>
      </c>
      <c r="E4" s="116">
        <v>45292</v>
      </c>
      <c r="K4" s="109"/>
      <c r="L4" s="109"/>
      <c r="M4" s="109"/>
      <c r="N4" s="109"/>
    </row>
    <row r="5" spans="1:18">
      <c r="A5" s="1" t="s">
        <v>0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8" t="s">
        <v>1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81</v>
      </c>
      <c r="R8" s="16"/>
    </row>
    <row r="9" spans="1:18" ht="18.75" customHeight="1" outlineLevel="1">
      <c r="A9" s="188" t="s">
        <v>2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82</v>
      </c>
    </row>
    <row r="10" spans="1:18" ht="18.75" customHeight="1" outlineLevel="1">
      <c r="A10" s="188" t="s">
        <v>3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1162027.24</v>
      </c>
      <c r="K10" s="109"/>
      <c r="L10" s="195"/>
      <c r="M10" s="109"/>
      <c r="N10" s="109"/>
      <c r="O10" s="70" t="s">
        <v>83</v>
      </c>
    </row>
    <row r="11" spans="1:18" outlineLevel="1">
      <c r="A11" s="188" t="s">
        <v>4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1380949</v>
      </c>
      <c r="K11" s="109"/>
      <c r="L11" s="195"/>
      <c r="M11" s="109"/>
      <c r="N11" s="109"/>
      <c r="O11" s="70" t="s">
        <v>84</v>
      </c>
    </row>
    <row r="12" spans="1:18" ht="18.75" customHeight="1" outlineLevel="1">
      <c r="A12" s="188" t="s">
        <v>5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813516.52</v>
      </c>
      <c r="K12" s="109"/>
      <c r="L12" s="195"/>
      <c r="M12" s="109"/>
      <c r="N12" s="109"/>
      <c r="O12" s="70" t="s">
        <v>85</v>
      </c>
    </row>
    <row r="13" spans="1:18" ht="18.75" customHeight="1" outlineLevel="1">
      <c r="A13" s="188" t="s">
        <v>6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253872</v>
      </c>
      <c r="K13" s="109"/>
      <c r="L13" s="195"/>
      <c r="M13" s="109"/>
      <c r="N13" s="109"/>
      <c r="O13" s="70" t="s">
        <v>86</v>
      </c>
    </row>
    <row r="14" spans="1:18" ht="18.75" customHeight="1" outlineLevel="1">
      <c r="A14" s="188" t="s">
        <v>7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313560.48</v>
      </c>
      <c r="K14" s="109"/>
      <c r="L14" s="195"/>
      <c r="M14" s="109"/>
      <c r="N14" s="109"/>
      <c r="O14" s="70" t="s">
        <v>87</v>
      </c>
    </row>
    <row r="15" spans="1:18" ht="18.75" customHeight="1" outlineLevel="1">
      <c r="A15" s="188" t="s">
        <v>8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1346969.97</v>
      </c>
      <c r="K15" s="109"/>
      <c r="L15" s="195"/>
      <c r="M15" s="109"/>
      <c r="N15" s="109"/>
      <c r="O15" s="70" t="s">
        <v>88</v>
      </c>
    </row>
    <row r="16" spans="1:18" ht="18.75" customHeight="1" outlineLevel="1">
      <c r="A16" s="188" t="s">
        <v>9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1346969.97</v>
      </c>
      <c r="K16" s="109"/>
      <c r="L16" s="195"/>
      <c r="M16" s="109"/>
      <c r="N16" s="109"/>
      <c r="O16" s="70" t="s">
        <v>89</v>
      </c>
    </row>
    <row r="17" spans="1:23" ht="18.75" customHeight="1" outlineLevel="1">
      <c r="A17" s="188" t="s">
        <v>10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90</v>
      </c>
    </row>
    <row r="18" spans="1:23" ht="18.75" customHeight="1" outlineLevel="1">
      <c r="A18" s="188" t="s">
        <v>11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91</v>
      </c>
    </row>
    <row r="19" spans="1:23" ht="18.75" customHeight="1" outlineLevel="1">
      <c r="A19" s="188" t="s">
        <v>12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92</v>
      </c>
    </row>
    <row r="20" spans="1:23" ht="18.75" customHeight="1" outlineLevel="1">
      <c r="A20" s="188" t="s">
        <v>13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93</v>
      </c>
    </row>
    <row r="21" spans="1:23" ht="18.75" customHeight="1" outlineLevel="1">
      <c r="A21" s="188" t="s">
        <v>14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1346969.97</v>
      </c>
      <c r="K21" s="109"/>
      <c r="L21" s="195"/>
      <c r="M21" s="109"/>
      <c r="N21" s="109"/>
      <c r="O21" s="70" t="s">
        <v>94</v>
      </c>
    </row>
    <row r="22" spans="1:23" ht="18.75" customHeight="1" outlineLevel="1">
      <c r="A22" s="188" t="s">
        <v>15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95</v>
      </c>
    </row>
    <row r="23" spans="1:23" ht="18.75" customHeight="1" outlineLevel="1">
      <c r="A23" s="188" t="s">
        <v>16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96</v>
      </c>
    </row>
    <row r="24" spans="1:23" ht="18.75" customHeight="1" outlineLevel="1">
      <c r="A24" s="188" t="s">
        <v>17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1196006.2700000003</v>
      </c>
      <c r="K24" s="109"/>
      <c r="L24" s="19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7" t="s">
        <v>18</v>
      </c>
      <c r="B27" s="187"/>
      <c r="C27" s="187"/>
      <c r="D27" s="187"/>
      <c r="E27" s="187"/>
      <c r="F27" s="187" t="s">
        <v>19</v>
      </c>
      <c r="G27" s="187"/>
      <c r="H27" s="5" t="s">
        <v>56</v>
      </c>
      <c r="I27" s="187" t="s">
        <v>20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211348.44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168190.2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57755.88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76161.600000000006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49505.04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157400.63999999998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9" t="str">
        <f>ПТО!A46</f>
        <v>Обслуживание пожарной сигнализации</v>
      </c>
      <c r="B35" s="179"/>
      <c r="C35" s="179"/>
      <c r="D35" s="179"/>
      <c r="E35" s="179"/>
      <c r="F35" s="184">
        <f>VLOOKUP(A35,ПТО!$A$39:$D$53,2,FALSE)</f>
        <v>15867</v>
      </c>
      <c r="G35" s="184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9"/>
      <c r="L35" s="196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hidden="1" customHeight="1" outlineLevel="1">
      <c r="A36" s="179">
        <f>ПТО!A47</f>
        <v>0</v>
      </c>
      <c r="B36" s="179"/>
      <c r="C36" s="179"/>
      <c r="D36" s="179"/>
      <c r="E36" s="179"/>
      <c r="F36" s="184" t="e">
        <f>VLOOKUP(A36,ПТО!$A$39:$D$53,2,FALSE)</f>
        <v>#N/A</v>
      </c>
      <c r="G36" s="184"/>
      <c r="H36" s="42" t="e">
        <f>VLOOKUP(A36,ПТО!$A$39:$D$53,3,FALSE)</f>
        <v>#N/A</v>
      </c>
      <c r="I36" s="180" t="e">
        <f>VLOOKUP(A36,ПТО!$A$39:$D$53,4,FALSE)</f>
        <v>#N/A</v>
      </c>
      <c r="J36" s="180"/>
      <c r="K36" s="109"/>
      <c r="L36" s="196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4" t="e">
        <f>VLOOKUP(A37,ПТО!$A$39:$D$53,2,FALSE)</f>
        <v>#N/A</v>
      </c>
      <c r="G37" s="184"/>
      <c r="H37" s="42" t="e">
        <f>VLOOKUP(A37,ПТО!$A$39:$D$53,3,FALSE)</f>
        <v>#N/A</v>
      </c>
      <c r="I37" s="180" t="e">
        <f>VLOOKUP(A37,ПТО!$A$39:$D$53,4,FALSE)</f>
        <v>#N/A</v>
      </c>
      <c r="J37" s="180"/>
      <c r="K37" s="109"/>
      <c r="L37" s="196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79" t="str">
        <f>ПТО!A2</f>
        <v>Техническое освидетельствование лифтов.</v>
      </c>
      <c r="B43" s="179"/>
      <c r="C43" s="179"/>
      <c r="D43" s="179"/>
      <c r="E43" s="179"/>
      <c r="F43" s="184">
        <f>VLOOKUP(A43,ПТО!$A$2:$D$31,4,FALSE)</f>
        <v>16200</v>
      </c>
      <c r="G43" s="184"/>
      <c r="H43" s="19" t="str">
        <f>VLOOKUP(A43,ПТО!$A$2:$D$31,2,FALSE)</f>
        <v>ежегодно</v>
      </c>
      <c r="I43" s="180">
        <f>VLOOKUP(A43,ПТО!$A$2:$D$31,3,FALSE)</f>
        <v>2</v>
      </c>
      <c r="J43" s="180"/>
      <c r="K43" s="109"/>
      <c r="L43" s="196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9" t="str">
        <f>ПТО!A3</f>
        <v>Техническое обслуживание системы видеонаблюдения.</v>
      </c>
      <c r="B44" s="179"/>
      <c r="C44" s="179"/>
      <c r="D44" s="179"/>
      <c r="E44" s="179"/>
      <c r="F44" s="184">
        <f>VLOOKUP(A44,ПТО!$A$2:$D$31,4,FALSE)</f>
        <v>26400</v>
      </c>
      <c r="G44" s="184"/>
      <c r="H44" s="25" t="str">
        <f>VLOOKUP(A44,ПТО!$A$2:$D$31,2,FALSE)</f>
        <v>ежемесячно</v>
      </c>
      <c r="I44" s="180">
        <f>VLOOKUP(A44,ПТО!$A$2:$D$31,3,FALSE)</f>
        <v>12</v>
      </c>
      <c r="J44" s="180"/>
      <c r="K44" s="109"/>
      <c r="L44" s="196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79" t="str">
        <f>ПТО!A4</f>
        <v>Техническое обслуживание охранной сигнализации.</v>
      </c>
      <c r="B45" s="179"/>
      <c r="C45" s="179"/>
      <c r="D45" s="179"/>
      <c r="E45" s="179"/>
      <c r="F45" s="184">
        <f>VLOOKUP(A45,ПТО!$A$2:$D$31,4,FALSE)</f>
        <v>12000</v>
      </c>
      <c r="G45" s="184"/>
      <c r="H45" s="25" t="str">
        <f>VLOOKUP(A45,ПТО!$A$2:$D$31,2,FALSE)</f>
        <v>ежемесячно</v>
      </c>
      <c r="I45" s="180">
        <f>VLOOKUP(A45,ПТО!$A$2:$D$31,3,FALSE)</f>
        <v>12</v>
      </c>
      <c r="J45" s="180"/>
      <c r="K45" s="109"/>
      <c r="L45" s="196"/>
      <c r="M45" s="115"/>
      <c r="N45" s="109"/>
      <c r="O45" s="23" t="str">
        <f t="shared" si="1"/>
        <v>Техническое обслуживание охранной сигнализации.</v>
      </c>
      <c r="R45" s="22" t="s">
        <v>71</v>
      </c>
    </row>
    <row r="46" spans="1:18" ht="51" customHeight="1" outlineLevel="1">
      <c r="A46" s="179" t="str">
        <f>ПТО!A5</f>
        <v>Механизированная уборка и вывоз снега с придомовой территории.</v>
      </c>
      <c r="B46" s="179"/>
      <c r="C46" s="179"/>
      <c r="D46" s="179"/>
      <c r="E46" s="179"/>
      <c r="F46" s="184">
        <f>VLOOKUP(A46,ПТО!$A$2:$D$31,4,FALSE)</f>
        <v>16564.900000000001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79" t="str">
        <f>ПТО!A6</f>
        <v>Приобретение и монтаж светодиодных светильников в подъезде (60 шт.).</v>
      </c>
      <c r="B47" s="179"/>
      <c r="C47" s="179"/>
      <c r="D47" s="179"/>
      <c r="E47" s="179"/>
      <c r="F47" s="184">
        <f>VLOOKUP(A47,ПТО!$A$2:$D$31,4,FALSE)</f>
        <v>58187.59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5"/>
      <c r="N47" s="109"/>
      <c r="O47" s="23" t="str">
        <f t="shared" si="1"/>
        <v>Приобретение и монтаж светодиодных светильников в подъезде (60 шт.).</v>
      </c>
      <c r="R47" s="22" t="s">
        <v>71</v>
      </c>
    </row>
    <row r="48" spans="1:18" ht="51" customHeight="1" outlineLevel="1">
      <c r="A48" s="179" t="str">
        <f>ПТО!A7</f>
        <v>Ремонт повысительного насоса ХВС (замена торцевого уплотнителя).</v>
      </c>
      <c r="B48" s="179"/>
      <c r="C48" s="179"/>
      <c r="D48" s="179"/>
      <c r="E48" s="179"/>
      <c r="F48" s="184">
        <f>VLOOKUP(A48,ПТО!$A$2:$D$31,4,FALSE)</f>
        <v>1987.8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5"/>
      <c r="N48" s="109"/>
      <c r="O48" s="23" t="str">
        <f t="shared" si="1"/>
        <v>Ремонт повысительного насоса ХВС (замена торцевого уплотнителя).</v>
      </c>
      <c r="R48" s="22" t="s">
        <v>71</v>
      </c>
    </row>
    <row r="49" spans="1:18" ht="51" customHeight="1" outlineLevel="1">
      <c r="A49" s="179" t="str">
        <f>ПТО!A8</f>
        <v>Ремонт повысительного насоса ХВС (восстановление рабочего колеса).</v>
      </c>
      <c r="B49" s="179"/>
      <c r="C49" s="179"/>
      <c r="D49" s="179"/>
      <c r="E49" s="179"/>
      <c r="F49" s="184">
        <f>VLOOKUP(A49,ПТО!$A$2:$D$31,4,FALSE)</f>
        <v>3086.6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5"/>
      <c r="N49" s="109"/>
      <c r="O49" s="23" t="str">
        <f t="shared" si="1"/>
        <v>Ремонт повысительного насоса ХВС (восстановление рабочего колеса).</v>
      </c>
      <c r="R49" s="22" t="s">
        <v>71</v>
      </c>
    </row>
    <row r="50" spans="1:18" ht="51" customHeight="1" outlineLevel="1">
      <c r="A50" s="179" t="str">
        <f>ПТО!A9</f>
        <v>Ремонт подъезда (цокольный этаж).</v>
      </c>
      <c r="B50" s="179"/>
      <c r="C50" s="179"/>
      <c r="D50" s="179"/>
      <c r="E50" s="179"/>
      <c r="F50" s="184">
        <f>VLOOKUP(A50,ПТО!$A$2:$D$31,4,FALSE)</f>
        <v>29045.9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5"/>
      <c r="N50" s="109"/>
      <c r="O50" s="23" t="str">
        <f t="shared" si="1"/>
        <v>Ремонт подъезда (цокольный этаж).</v>
      </c>
      <c r="R50" s="22" t="s">
        <v>71</v>
      </c>
    </row>
    <row r="51" spans="1:18" ht="51" hidden="1" customHeight="1" outlineLevel="1">
      <c r="A51" s="179">
        <f>ПТО!A10</f>
        <v>0</v>
      </c>
      <c r="B51" s="179"/>
      <c r="C51" s="179"/>
      <c r="D51" s="179"/>
      <c r="E51" s="179"/>
      <c r="F51" s="184" t="e">
        <f>VLOOKUP(A51,ПТО!$A$2:$D$31,4,FALSE)</f>
        <v>#N/A</v>
      </c>
      <c r="G51" s="184"/>
      <c r="H51" s="25" t="e">
        <f>VLOOKUP(A51,ПТО!$A$2:$D$31,2,FALSE)</f>
        <v>#N/A</v>
      </c>
      <c r="I51" s="180" t="e">
        <f>VLOOKUP(A51,ПТО!$A$2:$D$31,3,FALSE)</f>
        <v>#N/A</v>
      </c>
      <c r="J51" s="180"/>
      <c r="K51" s="109"/>
      <c r="L51" s="196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79">
        <f>ПТО!A11</f>
        <v>0</v>
      </c>
      <c r="B52" s="179"/>
      <c r="C52" s="179"/>
      <c r="D52" s="179"/>
      <c r="E52" s="179"/>
      <c r="F52" s="184" t="e">
        <f>VLOOKUP(A52,ПТО!$A$2:$D$31,4,FALSE)</f>
        <v>#N/A</v>
      </c>
      <c r="G52" s="184"/>
      <c r="H52" s="25" t="e">
        <f>VLOOKUP(A52,ПТО!$A$2:$D$31,2,FALSE)</f>
        <v>#N/A</v>
      </c>
      <c r="I52" s="180" t="e">
        <f>VLOOKUP(A52,ПТО!$A$2:$D$31,3,FALSE)</f>
        <v>#N/A</v>
      </c>
      <c r="J52" s="180"/>
      <c r="K52" s="109"/>
      <c r="L52" s="196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9">
        <f>ПТО!A12</f>
        <v>0</v>
      </c>
      <c r="B53" s="179"/>
      <c r="C53" s="179"/>
      <c r="D53" s="179"/>
      <c r="E53" s="179"/>
      <c r="F53" s="184" t="e">
        <f>VLOOKUP(A53,ПТО!$A$2:$D$31,4,FALSE)</f>
        <v>#N/A</v>
      </c>
      <c r="G53" s="184"/>
      <c r="H53" s="25" t="e">
        <f>VLOOKUP(A53,ПТО!$A$2:$D$31,2,FALSE)</f>
        <v>#N/A</v>
      </c>
      <c r="I53" s="180" t="e">
        <f>VLOOKUP(A53,ПТО!$A$2:$D$31,3,FALSE)</f>
        <v>#N/A</v>
      </c>
      <c r="J53" s="180"/>
      <c r="K53" s="109"/>
      <c r="L53" s="196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9">
        <f>ПТО!A13</f>
        <v>0</v>
      </c>
      <c r="B54" s="179"/>
      <c r="C54" s="179"/>
      <c r="D54" s="179"/>
      <c r="E54" s="179"/>
      <c r="F54" s="184" t="e">
        <f>VLOOKUP(A54,ПТО!$A$2:$D$31,4,FALSE)</f>
        <v>#N/A</v>
      </c>
      <c r="G54" s="184"/>
      <c r="H54" s="25" t="e">
        <f>VLOOKUP(A54,ПТО!$A$2:$D$31,2,FALSE)</f>
        <v>#N/A</v>
      </c>
      <c r="I54" s="180" t="e">
        <f>VLOOKUP(A54,ПТО!$A$2:$D$31,3,FALSE)</f>
        <v>#N/A</v>
      </c>
      <c r="J54" s="180"/>
      <c r="K54" s="109"/>
      <c r="L54" s="196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9">
        <f>ПТО!A14</f>
        <v>0</v>
      </c>
      <c r="B55" s="179"/>
      <c r="C55" s="179"/>
      <c r="D55" s="179"/>
      <c r="E55" s="179"/>
      <c r="F55" s="184" t="e">
        <f>VLOOKUP(A55,ПТО!$A$2:$D$31,4,FALSE)</f>
        <v>#N/A</v>
      </c>
      <c r="G55" s="184"/>
      <c r="H55" s="25" t="e">
        <f>VLOOKUP(A55,ПТО!$A$2:$D$31,2,FALSE)</f>
        <v>#N/A</v>
      </c>
      <c r="I55" s="180" t="e">
        <f>VLOOKUP(A55,ПТО!$A$2:$D$31,3,FALSE)</f>
        <v>#N/A</v>
      </c>
      <c r="J55" s="180"/>
      <c r="K55" s="109"/>
      <c r="L55" s="196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9">
        <f>ПТО!A15</f>
        <v>0</v>
      </c>
      <c r="B56" s="179"/>
      <c r="C56" s="179"/>
      <c r="D56" s="179"/>
      <c r="E56" s="179"/>
      <c r="F56" s="184" t="e">
        <f>VLOOKUP(A56,ПТО!$A$2:$D$31,4,FALSE)</f>
        <v>#N/A</v>
      </c>
      <c r="G56" s="184"/>
      <c r="H56" s="25" t="e">
        <f>VLOOKUP(A56,ПТО!$A$2:$D$31,2,FALSE)</f>
        <v>#N/A</v>
      </c>
      <c r="I56" s="180" t="e">
        <f>VLOOKUP(A56,ПТО!$A$2:$D$31,3,FALSE)</f>
        <v>#N/A</v>
      </c>
      <c r="J56" s="180"/>
      <c r="K56" s="109"/>
      <c r="L56" s="196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9">
        <f>ПТО!A16</f>
        <v>0</v>
      </c>
      <c r="B57" s="179"/>
      <c r="C57" s="179"/>
      <c r="D57" s="179"/>
      <c r="E57" s="179"/>
      <c r="F57" s="184" t="e">
        <f>VLOOKUP(A57,ПТО!$A$2:$D$31,4,FALSE)</f>
        <v>#N/A</v>
      </c>
      <c r="G57" s="184"/>
      <c r="H57" s="25" t="e">
        <f>VLOOKUP(A57,ПТО!$A$2:$D$31,2,FALSE)</f>
        <v>#N/A</v>
      </c>
      <c r="I57" s="180" t="e">
        <f>VLOOKUP(A57,ПТО!$A$2:$D$31,3,FALSE)</f>
        <v>#N/A</v>
      </c>
      <c r="J57" s="180"/>
      <c r="K57" s="109"/>
      <c r="L57" s="196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9">
        <f>ПТО!A17</f>
        <v>0</v>
      </c>
      <c r="B58" s="179"/>
      <c r="C58" s="179"/>
      <c r="D58" s="179"/>
      <c r="E58" s="179"/>
      <c r="F58" s="184" t="e">
        <f>VLOOKUP(A58,ПТО!$A$2:$D$31,4,FALSE)</f>
        <v>#N/A</v>
      </c>
      <c r="G58" s="184"/>
      <c r="H58" s="25" t="e">
        <f>VLOOKUP(A58,ПТО!$A$2:$D$31,2,FALSE)</f>
        <v>#N/A</v>
      </c>
      <c r="I58" s="180" t="e">
        <f>VLOOKUP(A58,ПТО!$A$2:$D$31,3,FALSE)</f>
        <v>#N/A</v>
      </c>
      <c r="J58" s="180"/>
      <c r="K58" s="109"/>
      <c r="L58" s="196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9">
        <f>ПТО!A18</f>
        <v>0</v>
      </c>
      <c r="B59" s="179"/>
      <c r="C59" s="179"/>
      <c r="D59" s="179"/>
      <c r="E59" s="179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0" t="e">
        <f>VLOOKUP(A59,ПТО!$A$2:$D$31,3,FALSE)</f>
        <v>#N/A</v>
      </c>
      <c r="J59" s="180"/>
      <c r="K59" s="109"/>
      <c r="L59" s="196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9"/>
      <c r="L60" s="196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9"/>
      <c r="L61" s="196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9"/>
      <c r="L62" s="196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9"/>
      <c r="L63" s="196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9"/>
      <c r="L70" s="196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9"/>
      <c r="L72" s="196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7" t="s">
        <v>26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98</v>
      </c>
    </row>
    <row r="76" spans="1:16384" ht="18.75" customHeight="1" outlineLevel="1">
      <c r="A76" s="197" t="s">
        <v>27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99</v>
      </c>
    </row>
    <row r="77" spans="1:16384" ht="21.75" customHeight="1" outlineLevel="1">
      <c r="A77" s="197" t="s">
        <v>28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99"/>
      <c r="M77" s="109"/>
      <c r="N77" s="109"/>
      <c r="O77" s="70" t="s">
        <v>100</v>
      </c>
    </row>
    <row r="78" spans="1:16384" ht="18.75" customHeight="1" outlineLevel="1">
      <c r="A78" s="197" t="s">
        <v>29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99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7" t="s">
        <v>1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102</v>
      </c>
    </row>
    <row r="82" spans="1:15" outlineLevel="1">
      <c r="A82" s="177" t="s">
        <v>2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85"/>
      <c r="M82" s="109"/>
      <c r="N82" s="109"/>
      <c r="O82" s="70" t="s">
        <v>103</v>
      </c>
    </row>
    <row r="83" spans="1:15" outlineLevel="1">
      <c r="A83" s="191" t="s">
        <v>3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97321.98</v>
      </c>
      <c r="K83" s="109"/>
      <c r="L83" s="185"/>
      <c r="M83" s="109"/>
      <c r="N83" s="109"/>
      <c r="O83" s="70" t="s">
        <v>104</v>
      </c>
    </row>
    <row r="84" spans="1:15" outlineLevel="1">
      <c r="A84" s="191" t="s">
        <v>15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105</v>
      </c>
    </row>
    <row r="85" spans="1:15" outlineLevel="1">
      <c r="A85" s="191" t="s">
        <v>16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0</v>
      </c>
      <c r="K85" s="109"/>
      <c r="L85" s="185"/>
      <c r="M85" s="109"/>
      <c r="N85" s="109"/>
      <c r="O85" s="70" t="s">
        <v>106</v>
      </c>
    </row>
    <row r="86" spans="1:15" outlineLevel="1">
      <c r="A86" s="191" t="s">
        <v>17</v>
      </c>
      <c r="B86" s="192"/>
      <c r="C86" s="192"/>
      <c r="D86" s="192"/>
      <c r="E86" s="192"/>
      <c r="F86" s="192"/>
      <c r="G86" s="192"/>
      <c r="H86" s="192"/>
      <c r="I86" s="193"/>
      <c r="J86" s="97">
        <f t="shared" si="2"/>
        <v>100644.24000000005</v>
      </c>
      <c r="K86" s="109"/>
      <c r="L86" s="185"/>
      <c r="M86" s="109"/>
      <c r="N86" s="109"/>
      <c r="O86" s="70" t="s">
        <v>107</v>
      </c>
    </row>
    <row r="87" spans="1:15" ht="18.75" customHeight="1" outlineLevel="1">
      <c r="A87" s="191" t="s">
        <v>26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108</v>
      </c>
    </row>
    <row r="88" spans="1:15" ht="18.75" customHeight="1" outlineLevel="1">
      <c r="A88" s="191" t="s">
        <v>27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109</v>
      </c>
    </row>
    <row r="89" spans="1:15" ht="18.75" customHeight="1" outlineLevel="1">
      <c r="A89" s="191" t="s">
        <v>28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09"/>
      <c r="L89" s="185"/>
      <c r="M89" s="109"/>
      <c r="N89" s="109"/>
      <c r="O89" s="70" t="s">
        <v>110</v>
      </c>
    </row>
    <row r="90" spans="1:15" ht="18.75" customHeight="1" outlineLevel="1">
      <c r="A90" s="191" t="s">
        <v>29</v>
      </c>
      <c r="B90" s="192"/>
      <c r="C90" s="192"/>
      <c r="D90" s="192"/>
      <c r="E90" s="192"/>
      <c r="F90" s="192"/>
      <c r="G90" s="192"/>
      <c r="H90" s="192"/>
      <c r="I90" s="193"/>
      <c r="J90" s="97">
        <f t="shared" si="2"/>
        <v>0</v>
      </c>
      <c r="K90" s="109"/>
      <c r="L90" s="18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200" t="s">
        <v>47</v>
      </c>
      <c r="B93" s="200"/>
      <c r="C93" s="200"/>
      <c r="D93" s="201" t="s">
        <v>48</v>
      </c>
      <c r="E93" s="201"/>
      <c r="F93" s="10" t="s">
        <v>49</v>
      </c>
      <c r="G93" s="200" t="s">
        <v>50</v>
      </c>
      <c r="H93" s="200"/>
      <c r="I93" s="200"/>
      <c r="J93" s="200"/>
      <c r="K93" s="109"/>
      <c r="L93" s="109"/>
      <c r="M93" s="109"/>
      <c r="N93" s="109"/>
    </row>
    <row r="94" spans="1:15" hidden="1" outlineLevel="1">
      <c r="A94" s="181">
        <f>IF(VLOOKUP("эл",АО,3,FALSE)&gt;0,"Электроснабжение",0)</f>
        <v>0</v>
      </c>
      <c r="B94" s="181"/>
      <c r="C94" s="181"/>
      <c r="D94" s="182">
        <f>IF(VLOOKUP("эл",АО,3,FALSE)&gt;0,VLOOKUP("эл",АО,3,FALSE),0)</f>
        <v>0</v>
      </c>
      <c r="E94" s="182"/>
      <c r="F94" s="13">
        <f>IF(VLOOKUP("эл",АО,3,FALSE)&gt;0,VLOOKUP("эл",АО,4,FALSE),0)</f>
        <v>0</v>
      </c>
      <c r="G94" s="183">
        <f>VLOOKUP("эл",АО,5,FALSE)</f>
        <v>0</v>
      </c>
      <c r="H94" s="182"/>
      <c r="I94" s="182"/>
      <c r="J94" s="182"/>
      <c r="K94" s="1" t="str">
        <f>VLOOKUP("эл",АО,2,FALSE)</f>
        <v>Электроснабжение</v>
      </c>
      <c r="L94" s="186"/>
    </row>
    <row r="95" spans="1:15" hidden="1" outlineLevel="2">
      <c r="A95" s="198">
        <f>IF(VLOOKUP("эл",АО,3,FALSE)&gt;0,VLOOKUP("эл1",АО,2,FALSE),0)</f>
        <v>0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0</v>
      </c>
      <c r="L95" s="186"/>
      <c r="O95" s="1" t="s">
        <v>112</v>
      </c>
    </row>
    <row r="96" spans="1:15" hidden="1" outlineLevel="2">
      <c r="A96" s="198">
        <f>IF(VLOOKUP("эл",АО,3,FALSE)&gt;0,VLOOKUP("эл2",АО,2,FALSE),0)</f>
        <v>0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0</v>
      </c>
      <c r="L96" s="186"/>
      <c r="O96" s="1" t="s">
        <v>113</v>
      </c>
    </row>
    <row r="97" spans="1:15" hidden="1" outlineLevel="2">
      <c r="A97" s="198">
        <f>IF(VLOOKUP("эл",АО,3,FALSE)&gt;0,VLOOKUP("эл3",АО,2,FALSE),0)</f>
        <v>0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0</v>
      </c>
      <c r="L97" s="186"/>
      <c r="O97" s="1" t="s">
        <v>114</v>
      </c>
    </row>
    <row r="98" spans="1:15" ht="37.5" hidden="1" customHeight="1" outlineLevel="2">
      <c r="A98" s="198">
        <f>IF(VLOOKUP("эл",АО,3,FALSE)&gt;0,VLOOKUP("эл4",АО,2,FALSE),0)</f>
        <v>0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0</v>
      </c>
      <c r="L98" s="186"/>
      <c r="O98" s="1" t="s">
        <v>115</v>
      </c>
    </row>
    <row r="99" spans="1:15" hidden="1" outlineLevel="2">
      <c r="A99" s="198">
        <f>IF(VLOOKUP("эл",АО,3,FALSE)&gt;0,VLOOKUP("эл5",АО,2,FALSE),0)</f>
        <v>0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0</v>
      </c>
      <c r="L99" s="186"/>
      <c r="O99" s="1" t="s">
        <v>116</v>
      </c>
    </row>
    <row r="100" spans="1:15" ht="39" hidden="1" customHeight="1" outlineLevel="2">
      <c r="A100" s="198">
        <f>IF(VLOOKUP("эл",АО,3,FALSE)&gt;0,VLOOKUP("эл6",АО,2,FALSE),0)</f>
        <v>0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117</v>
      </c>
    </row>
    <row r="101" spans="1:15" ht="34.5" hidden="1" customHeight="1" outlineLevel="2">
      <c r="A101" s="198">
        <f>IF(VLOOKUP("эл",АО,3,FALSE)&gt;0,VLOOKUP("эл7",АО,2,FALSE),0)</f>
        <v>0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186"/>
      <c r="O101" s="1" t="s">
        <v>118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3">
        <f>VLOOKUP("хвс",АО,5,FALSE)</f>
        <v>212489.34</v>
      </c>
      <c r="H102" s="182"/>
      <c r="I102" s="182"/>
      <c r="J102" s="182"/>
      <c r="L102" s="186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13322.215673981191</v>
      </c>
      <c r="L103" s="186"/>
      <c r="O103" s="1" t="s">
        <v>121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208961.85</v>
      </c>
      <c r="L104" s="186"/>
      <c r="O104" s="1" t="s">
        <v>122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3527.4899999999907</v>
      </c>
      <c r="L105" s="186"/>
      <c r="O105" s="1" t="s">
        <v>123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212489.34</v>
      </c>
      <c r="L106" s="186"/>
      <c r="O106" s="1" t="s">
        <v>124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212489.34</v>
      </c>
      <c r="L107" s="186"/>
      <c r="O107" s="1" t="s">
        <v>125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126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186"/>
      <c r="O109" s="1" t="s">
        <v>127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3">
        <f>VLOOKUP("воо",АО,5,FALSE)</f>
        <v>235390.82</v>
      </c>
      <c r="H110" s="182"/>
      <c r="I110" s="182"/>
      <c r="J110" s="182"/>
      <c r="L110" s="186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12139.805054151624</v>
      </c>
      <c r="L111" s="186"/>
      <c r="O111" s="1" t="s">
        <v>129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235596.05</v>
      </c>
      <c r="L112" s="186"/>
      <c r="O112" s="1" t="s">
        <v>130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86"/>
      <c r="O113" s="1" t="s">
        <v>131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235390.82</v>
      </c>
      <c r="L114" s="186"/>
      <c r="O114" s="1" t="s">
        <v>132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235390.82</v>
      </c>
      <c r="L115" s="186"/>
      <c r="O115" s="1" t="s">
        <v>133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134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86"/>
      <c r="O117" s="1" t="s">
        <v>135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3">
        <f>VLOOKUP("тко",АО,5,FALSE)</f>
        <v>0</v>
      </c>
      <c r="H118" s="182"/>
      <c r="I118" s="182"/>
      <c r="J118" s="182"/>
      <c r="L118" s="47"/>
    </row>
    <row r="119" spans="1:15" ht="32.25" hidden="1" customHeight="1" outlineLevel="2">
      <c r="A119" s="177">
        <f t="shared" ref="A119:A125" si="8">IF(VLOOKUP("тко",АО,3,FALSE)&gt;0,VLOOKUP(O119,АО,2,FALSE),0)</f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7">
        <f t="shared" si="8"/>
        <v>0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82">
        <f>IF(VLOOKUP("гвс",АО,3,FALSE)&gt;0,VLOOKUP("гвс",АО,3,FALSE),0)</f>
        <v>0</v>
      </c>
      <c r="E126" s="182"/>
      <c r="F126" s="13">
        <f>IF(VLOOKUP("гвс",АО,3,FALSE)&gt;0,VLOOKUP("гвс",АО,4,FALSE),0)</f>
        <v>0</v>
      </c>
      <c r="G126" s="183">
        <f>VLOOKUP("гвс",АО,5,FALSE)</f>
        <v>0</v>
      </c>
      <c r="H126" s="182"/>
      <c r="I126" s="182"/>
      <c r="J126" s="182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3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7" t="s">
        <v>44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169</v>
      </c>
    </row>
    <row r="145" spans="1:15" ht="18.75" customHeight="1" outlineLevel="1">
      <c r="A145" s="177" t="s">
        <v>45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77" t="s">
        <v>172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171</v>
      </c>
    </row>
    <row r="149" spans="1:15" ht="52.5" customHeight="1">
      <c r="A149" s="202" t="s">
        <v>186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1" spans="1:15">
      <c r="A151" s="1" t="s">
        <v>187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204" t="s">
        <v>202</v>
      </c>
      <c r="B154" s="204"/>
      <c r="C154" s="204"/>
      <c r="D154" s="204"/>
      <c r="E154" s="27">
        <f>ПТО!G1</f>
        <v>-369004.52</v>
      </c>
    </row>
    <row r="155" spans="1:15" ht="34.5" customHeight="1">
      <c r="A155" s="203" t="s">
        <v>201</v>
      </c>
      <c r="B155" s="203"/>
      <c r="C155" s="203"/>
      <c r="D155" s="203"/>
      <c r="E155" s="28">
        <f>J13</f>
        <v>253872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18</v>
      </c>
      <c r="B157" s="187"/>
      <c r="C157" s="187"/>
      <c r="D157" s="187"/>
      <c r="E157" s="187"/>
      <c r="F157" s="187" t="s">
        <v>19</v>
      </c>
      <c r="G157" s="187"/>
      <c r="H157" s="20" t="s">
        <v>56</v>
      </c>
      <c r="I157" s="187" t="s">
        <v>20</v>
      </c>
      <c r="J157" s="187"/>
    </row>
    <row r="158" spans="1:15" ht="29.25" customHeight="1">
      <c r="A158" s="179" t="str">
        <f t="shared" ref="A158:A163" si="14">IF(N158&gt;0,N158,0)</f>
        <v>Техническое освидетельствование лифтов.</v>
      </c>
      <c r="B158" s="179"/>
      <c r="C158" s="179"/>
      <c r="D158" s="179"/>
      <c r="E158" s="179"/>
      <c r="F158" s="184">
        <f t="shared" ref="F158:F163" si="15">IF(ISERROR(VLOOKUP(A158,$A$28:$J$72,6,FALSE)),0,VLOOKUP(A158,$A$28:$J$72,6,FALSE))</f>
        <v>16200</v>
      </c>
      <c r="G158" s="184"/>
      <c r="H158" s="24" t="str">
        <f t="shared" ref="H158:H187" si="16">VLOOKUP(A158,$A$28:$J$72,8,FALSE)</f>
        <v>ежегодно</v>
      </c>
      <c r="I158" s="180">
        <f t="shared" ref="I158:I161" si="17">VLOOKUP(A158,$A$28:$J$72,9,FALSE)</f>
        <v>2</v>
      </c>
      <c r="J158" s="18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9" t="str">
        <f t="shared" si="14"/>
        <v>Техническое обслуживание системы видеонаблюдения.</v>
      </c>
      <c r="B159" s="179"/>
      <c r="C159" s="179"/>
      <c r="D159" s="179"/>
      <c r="E159" s="179"/>
      <c r="F159" s="184">
        <f t="shared" si="15"/>
        <v>26400</v>
      </c>
      <c r="G159" s="184"/>
      <c r="H159" s="24" t="str">
        <f t="shared" si="16"/>
        <v>ежемесячно</v>
      </c>
      <c r="I159" s="180">
        <f t="shared" si="17"/>
        <v>12</v>
      </c>
      <c r="J159" s="180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79" t="str">
        <f t="shared" si="14"/>
        <v>Техническое обслуживание охранной сигнализации.</v>
      </c>
      <c r="B160" s="179"/>
      <c r="C160" s="179"/>
      <c r="D160" s="179"/>
      <c r="E160" s="179"/>
      <c r="F160" s="184">
        <f t="shared" si="15"/>
        <v>12000</v>
      </c>
      <c r="G160" s="184"/>
      <c r="H160" s="24" t="str">
        <f t="shared" si="16"/>
        <v>ежемесячно</v>
      </c>
      <c r="I160" s="180">
        <f t="shared" si="17"/>
        <v>12</v>
      </c>
      <c r="J160" s="180"/>
      <c r="M160" s="22" t="s">
        <v>71</v>
      </c>
      <c r="N160" s="1" t="str">
        <v>Техническое обслуживание охранной сигнализации.</v>
      </c>
    </row>
    <row r="161" spans="1:14" ht="28.5" customHeight="1">
      <c r="A161" s="179" t="str">
        <f>IF(N161&gt;0,N161,0)</f>
        <v>Механизированная уборка и вывоз снега с придомовой территории.</v>
      </c>
      <c r="B161" s="179"/>
      <c r="C161" s="179"/>
      <c r="D161" s="179"/>
      <c r="E161" s="179"/>
      <c r="F161" s="184">
        <f t="shared" si="15"/>
        <v>16564.900000000001</v>
      </c>
      <c r="G161" s="184"/>
      <c r="H161" s="24" t="str">
        <f t="shared" si="16"/>
        <v>разово</v>
      </c>
      <c r="I161" s="180">
        <f t="shared" si="17"/>
        <v>1</v>
      </c>
      <c r="J161" s="180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79" t="str">
        <f t="shared" si="14"/>
        <v>Приобретение и монтаж светодиодных светильников в подъезде (60 шт.).</v>
      </c>
      <c r="B162" s="179"/>
      <c r="C162" s="179"/>
      <c r="D162" s="179"/>
      <c r="E162" s="179"/>
      <c r="F162" s="184">
        <f t="shared" si="15"/>
        <v>58187.59</v>
      </c>
      <c r="G162" s="184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71</v>
      </c>
      <c r="N162" s="1" t="str">
        <v>Приобретение и монтаж светодиодных светильников в подъезде (60 шт.).</v>
      </c>
    </row>
    <row r="163" spans="1:14" ht="28.5" customHeight="1">
      <c r="A163" s="179" t="str">
        <f t="shared" si="14"/>
        <v>Ремонт повысительного насоса ХВС (замена торцевого уплотнителя).</v>
      </c>
      <c r="B163" s="179"/>
      <c r="C163" s="179"/>
      <c r="D163" s="179"/>
      <c r="E163" s="179"/>
      <c r="F163" s="184">
        <f t="shared" si="15"/>
        <v>1987.8</v>
      </c>
      <c r="G163" s="184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71</v>
      </c>
      <c r="N163" s="1" t="str">
        <v>Ремонт повысительного насоса ХВС (замена торцевого уплотнителя).</v>
      </c>
    </row>
    <row r="164" spans="1:14" ht="28.5" customHeight="1">
      <c r="A164" s="179" t="str">
        <f t="shared" ref="A164:A187" si="18">IF(N164&gt;0,N164,0)</f>
        <v>Ремонт повысительного насоса ХВС (восстановление рабочего колеса).</v>
      </c>
      <c r="B164" s="179"/>
      <c r="C164" s="179"/>
      <c r="D164" s="179"/>
      <c r="E164" s="179"/>
      <c r="F164" s="184">
        <f t="shared" ref="F164:F187" si="19">IF(ISERROR(VLOOKUP(A164,$A$28:$J$72,6,FALSE)),0,VLOOKUP(A164,$A$28:$J$72,6,FALSE))</f>
        <v>3086.6</v>
      </c>
      <c r="G164" s="184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71</v>
      </c>
      <c r="N164" s="1" t="str">
        <v>Ремонт повысительного насоса ХВС (восстановление рабочего колеса).</v>
      </c>
    </row>
    <row r="165" spans="1:14" ht="28.5" customHeight="1">
      <c r="A165" s="179" t="str">
        <f t="shared" si="18"/>
        <v>Ремонт подъезда (цокольный этаж).</v>
      </c>
      <c r="B165" s="179"/>
      <c r="C165" s="179"/>
      <c r="D165" s="179"/>
      <c r="E165" s="179"/>
      <c r="F165" s="184">
        <f t="shared" si="19"/>
        <v>29045.9</v>
      </c>
      <c r="G165" s="184"/>
      <c r="H165" s="29" t="str">
        <f t="shared" si="16"/>
        <v>разово</v>
      </c>
      <c r="I165" s="180">
        <f t="shared" si="20"/>
        <v>1</v>
      </c>
      <c r="J165" s="180"/>
      <c r="M165" s="22" t="s">
        <v>71</v>
      </c>
      <c r="N165" s="1" t="str">
        <v>Ремонт подъезда (цокольный этаж).</v>
      </c>
    </row>
    <row r="166" spans="1:14" ht="28.5" hidden="1" customHeight="1">
      <c r="A166" s="179">
        <f t="shared" si="18"/>
        <v>0</v>
      </c>
      <c r="B166" s="179"/>
      <c r="C166" s="179"/>
      <c r="D166" s="179"/>
      <c r="E166" s="179"/>
      <c r="F166" s="184">
        <f t="shared" si="19"/>
        <v>0</v>
      </c>
      <c r="G166" s="184"/>
      <c r="H166" s="29" t="e">
        <f t="shared" si="16"/>
        <v>#N/A</v>
      </c>
      <c r="I166" s="180" t="e">
        <f t="shared" si="20"/>
        <v>#N/A</v>
      </c>
      <c r="J166" s="180"/>
      <c r="M166" s="22" t="s">
        <v>71</v>
      </c>
      <c r="N166" s="1">
        <v>0</v>
      </c>
    </row>
    <row r="167" spans="1:14" ht="28.5" hidden="1" customHeight="1">
      <c r="A167" s="179">
        <f t="shared" si="18"/>
        <v>0</v>
      </c>
      <c r="B167" s="179"/>
      <c r="C167" s="179"/>
      <c r="D167" s="179"/>
      <c r="E167" s="179"/>
      <c r="F167" s="184">
        <f t="shared" si="19"/>
        <v>0</v>
      </c>
      <c r="G167" s="184"/>
      <c r="H167" s="29" t="e">
        <f t="shared" si="16"/>
        <v>#N/A</v>
      </c>
      <c r="I167" s="180" t="e">
        <f t="shared" si="20"/>
        <v>#N/A</v>
      </c>
      <c r="J167" s="180"/>
      <c r="M167" s="22" t="s">
        <v>71</v>
      </c>
      <c r="N167" s="1">
        <v>0</v>
      </c>
    </row>
    <row r="168" spans="1:14" ht="28.5" hidden="1" customHeight="1">
      <c r="A168" s="179">
        <f t="shared" si="18"/>
        <v>0</v>
      </c>
      <c r="B168" s="179"/>
      <c r="C168" s="179"/>
      <c r="D168" s="179"/>
      <c r="E168" s="179"/>
      <c r="F168" s="184">
        <f t="shared" si="19"/>
        <v>0</v>
      </c>
      <c r="G168" s="184"/>
      <c r="H168" s="29" t="e">
        <f t="shared" si="16"/>
        <v>#N/A</v>
      </c>
      <c r="I168" s="180" t="e">
        <f t="shared" si="20"/>
        <v>#N/A</v>
      </c>
      <c r="J168" s="180"/>
      <c r="M168" s="22" t="s">
        <v>71</v>
      </c>
      <c r="N168" s="1">
        <v>0</v>
      </c>
    </row>
    <row r="169" spans="1:14" ht="28.5" hidden="1" customHeight="1">
      <c r="A169" s="179">
        <f t="shared" si="18"/>
        <v>0</v>
      </c>
      <c r="B169" s="179"/>
      <c r="C169" s="179"/>
      <c r="D169" s="179"/>
      <c r="E169" s="179"/>
      <c r="F169" s="184">
        <f t="shared" si="19"/>
        <v>0</v>
      </c>
      <c r="G169" s="184"/>
      <c r="H169" s="29" t="e">
        <f t="shared" si="16"/>
        <v>#N/A</v>
      </c>
      <c r="I169" s="180" t="e">
        <f t="shared" si="20"/>
        <v>#N/A</v>
      </c>
      <c r="J169" s="180"/>
      <c r="M169" s="22" t="s">
        <v>71</v>
      </c>
      <c r="N169" s="1">
        <v>0</v>
      </c>
    </row>
    <row r="170" spans="1:14" ht="28.5" hidden="1" customHeight="1">
      <c r="A170" s="179">
        <f t="shared" si="18"/>
        <v>0</v>
      </c>
      <c r="B170" s="179"/>
      <c r="C170" s="179"/>
      <c r="D170" s="179"/>
      <c r="E170" s="179"/>
      <c r="F170" s="184">
        <f t="shared" si="19"/>
        <v>0</v>
      </c>
      <c r="G170" s="184"/>
      <c r="H170" s="29" t="e">
        <f t="shared" si="16"/>
        <v>#N/A</v>
      </c>
      <c r="I170" s="180" t="e">
        <f t="shared" si="20"/>
        <v>#N/A</v>
      </c>
      <c r="J170" s="180"/>
      <c r="M170" s="22" t="s">
        <v>71</v>
      </c>
      <c r="N170" s="1">
        <v>0</v>
      </c>
    </row>
    <row r="171" spans="1:14" ht="28.5" hidden="1" customHeight="1">
      <c r="A171" s="179">
        <f t="shared" si="18"/>
        <v>0</v>
      </c>
      <c r="B171" s="179"/>
      <c r="C171" s="179"/>
      <c r="D171" s="179"/>
      <c r="E171" s="179"/>
      <c r="F171" s="184">
        <f t="shared" si="19"/>
        <v>0</v>
      </c>
      <c r="G171" s="184"/>
      <c r="H171" s="29" t="e">
        <f t="shared" si="16"/>
        <v>#N/A</v>
      </c>
      <c r="I171" s="180" t="e">
        <f t="shared" si="20"/>
        <v>#N/A</v>
      </c>
      <c r="J171" s="180"/>
      <c r="M171" s="22" t="s">
        <v>71</v>
      </c>
      <c r="N171" s="1">
        <v>0</v>
      </c>
    </row>
    <row r="172" spans="1:14" ht="28.5" hidden="1" customHeight="1">
      <c r="A172" s="179">
        <f t="shared" si="18"/>
        <v>0</v>
      </c>
      <c r="B172" s="179"/>
      <c r="C172" s="179"/>
      <c r="D172" s="179"/>
      <c r="E172" s="179"/>
      <c r="F172" s="184">
        <f t="shared" si="19"/>
        <v>0</v>
      </c>
      <c r="G172" s="184"/>
      <c r="H172" s="29" t="e">
        <f t="shared" si="16"/>
        <v>#N/A</v>
      </c>
      <c r="I172" s="180" t="e">
        <f t="shared" si="20"/>
        <v>#N/A</v>
      </c>
      <c r="J172" s="180"/>
      <c r="M172" s="22" t="s">
        <v>71</v>
      </c>
      <c r="N172" s="1">
        <v>0</v>
      </c>
    </row>
    <row r="173" spans="1:14" ht="28.5" hidden="1" customHeight="1">
      <c r="A173" s="179">
        <f t="shared" si="18"/>
        <v>0</v>
      </c>
      <c r="B173" s="179"/>
      <c r="C173" s="179"/>
      <c r="D173" s="179"/>
      <c r="E173" s="179"/>
      <c r="F173" s="184">
        <f t="shared" si="19"/>
        <v>0</v>
      </c>
      <c r="G173" s="184"/>
      <c r="H173" s="29" t="e">
        <f t="shared" si="16"/>
        <v>#N/A</v>
      </c>
      <c r="I173" s="180" t="e">
        <f t="shared" si="20"/>
        <v>#N/A</v>
      </c>
      <c r="J173" s="180"/>
      <c r="M173" s="22" t="s">
        <v>71</v>
      </c>
      <c r="N173" s="1">
        <v>0</v>
      </c>
    </row>
    <row r="174" spans="1:14" ht="28.5" hidden="1" customHeight="1">
      <c r="A174" s="179">
        <f t="shared" si="18"/>
        <v>0</v>
      </c>
      <c r="B174" s="179"/>
      <c r="C174" s="179"/>
      <c r="D174" s="179"/>
      <c r="E174" s="179"/>
      <c r="F174" s="184">
        <f t="shared" si="19"/>
        <v>0</v>
      </c>
      <c r="G174" s="184"/>
      <c r="H174" s="29" t="e">
        <f t="shared" si="16"/>
        <v>#N/A</v>
      </c>
      <c r="I174" s="180" t="e">
        <f t="shared" si="20"/>
        <v>#N/A</v>
      </c>
      <c r="J174" s="180"/>
      <c r="M174" s="22" t="s">
        <v>71</v>
      </c>
      <c r="N174" s="1">
        <v>0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4">
        <f t="shared" si="19"/>
        <v>0</v>
      </c>
      <c r="G175" s="184"/>
      <c r="H175" s="29" t="e">
        <f t="shared" si="16"/>
        <v>#N/A</v>
      </c>
      <c r="I175" s="180" t="e">
        <f t="shared" si="20"/>
        <v>#N/A</v>
      </c>
      <c r="J175" s="180"/>
      <c r="M175" s="22" t="s">
        <v>71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4">
        <f t="shared" si="19"/>
        <v>0</v>
      </c>
      <c r="G176" s="184"/>
      <c r="H176" s="29" t="e">
        <f t="shared" si="16"/>
        <v>#N/A</v>
      </c>
      <c r="I176" s="180" t="e">
        <f t="shared" si="20"/>
        <v>#N/A</v>
      </c>
      <c r="J176" s="180"/>
      <c r="M176" s="22" t="s">
        <v>71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4">
        <f t="shared" si="19"/>
        <v>0</v>
      </c>
      <c r="G177" s="184"/>
      <c r="H177" s="29" t="e">
        <f t="shared" si="16"/>
        <v>#N/A</v>
      </c>
      <c r="I177" s="180" t="e">
        <f t="shared" si="20"/>
        <v>#N/A</v>
      </c>
      <c r="J177" s="180"/>
      <c r="M177" s="22" t="s">
        <v>71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4">
        <f t="shared" si="19"/>
        <v>0</v>
      </c>
      <c r="G178" s="184"/>
      <c r="H178" s="29" t="e">
        <f t="shared" si="16"/>
        <v>#N/A</v>
      </c>
      <c r="I178" s="180" t="e">
        <f t="shared" si="20"/>
        <v>#N/A</v>
      </c>
      <c r="J178" s="180"/>
      <c r="M178" s="22" t="s">
        <v>71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4">
        <f t="shared" si="19"/>
        <v>0</v>
      </c>
      <c r="G179" s="184"/>
      <c r="H179" s="29" t="e">
        <f t="shared" si="16"/>
        <v>#N/A</v>
      </c>
      <c r="I179" s="180" t="e">
        <f t="shared" si="20"/>
        <v>#N/A</v>
      </c>
      <c r="J179" s="180"/>
      <c r="M179" s="22" t="s">
        <v>71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4">
        <f t="shared" si="19"/>
        <v>0</v>
      </c>
      <c r="G180" s="184"/>
      <c r="H180" s="29" t="e">
        <f t="shared" si="16"/>
        <v>#N/A</v>
      </c>
      <c r="I180" s="180" t="e">
        <f t="shared" si="20"/>
        <v>#N/A</v>
      </c>
      <c r="J180" s="180"/>
      <c r="M180" s="22" t="s">
        <v>71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4">
        <f t="shared" si="19"/>
        <v>0</v>
      </c>
      <c r="G181" s="184"/>
      <c r="H181" s="29" t="e">
        <f t="shared" si="16"/>
        <v>#N/A</v>
      </c>
      <c r="I181" s="180" t="e">
        <f t="shared" si="20"/>
        <v>#N/A</v>
      </c>
      <c r="J181" s="180"/>
      <c r="M181" s="22" t="s">
        <v>71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4">
        <f t="shared" si="19"/>
        <v>0</v>
      </c>
      <c r="G182" s="184"/>
      <c r="H182" s="29" t="e">
        <f t="shared" si="16"/>
        <v>#N/A</v>
      </c>
      <c r="I182" s="180" t="e">
        <f t="shared" si="20"/>
        <v>#N/A</v>
      </c>
      <c r="J182" s="180"/>
      <c r="M182" s="22" t="s">
        <v>71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4">
        <f t="shared" si="19"/>
        <v>0</v>
      </c>
      <c r="G183" s="184"/>
      <c r="H183" s="29" t="e">
        <f t="shared" si="16"/>
        <v>#N/A</v>
      </c>
      <c r="I183" s="180" t="e">
        <f t="shared" si="20"/>
        <v>#N/A</v>
      </c>
      <c r="J183" s="180"/>
      <c r="M183" s="22" t="s">
        <v>71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4">
        <f t="shared" si="19"/>
        <v>0</v>
      </c>
      <c r="G184" s="184"/>
      <c r="H184" s="29" t="e">
        <f t="shared" si="16"/>
        <v>#N/A</v>
      </c>
      <c r="I184" s="180" t="e">
        <f t="shared" si="20"/>
        <v>#N/A</v>
      </c>
      <c r="J184" s="180"/>
      <c r="M184" s="22" t="s">
        <v>71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4">
        <f t="shared" si="19"/>
        <v>0</v>
      </c>
      <c r="G185" s="184"/>
      <c r="H185" s="29" t="e">
        <f t="shared" si="16"/>
        <v>#N/A</v>
      </c>
      <c r="I185" s="180" t="e">
        <f t="shared" si="20"/>
        <v>#N/A</v>
      </c>
      <c r="J185" s="180"/>
      <c r="M185" s="22" t="s">
        <v>71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4">
        <f t="shared" si="19"/>
        <v>0</v>
      </c>
      <c r="G186" s="184"/>
      <c r="H186" s="29" t="e">
        <f t="shared" si="16"/>
        <v>#N/A</v>
      </c>
      <c r="I186" s="180" t="e">
        <f t="shared" si="20"/>
        <v>#N/A</v>
      </c>
      <c r="J186" s="180"/>
      <c r="M186" s="22" t="s">
        <v>71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4">
        <f t="shared" si="19"/>
        <v>0</v>
      </c>
      <c r="G187" s="184"/>
      <c r="H187" s="29" t="e">
        <f t="shared" si="16"/>
        <v>#N/A</v>
      </c>
      <c r="I187" s="180" t="e">
        <f t="shared" si="20"/>
        <v>#N/A</v>
      </c>
      <c r="J187" s="180"/>
      <c r="M187" s="22" t="s">
        <v>71</v>
      </c>
      <c r="N187" s="1">
        <v>0</v>
      </c>
    </row>
    <row r="188" spans="1:14" ht="15.75" customHeight="1">
      <c r="A188" s="104" t="s">
        <v>173</v>
      </c>
    </row>
    <row r="189" spans="1:14" ht="15.75" customHeight="1">
      <c r="A189" s="104" t="s">
        <v>173</v>
      </c>
    </row>
    <row r="190" spans="1:14" ht="36.75" customHeight="1">
      <c r="A190" s="204" t="s">
        <v>200</v>
      </c>
      <c r="B190" s="204"/>
      <c r="C190" s="204"/>
      <c r="D190" s="204"/>
      <c r="E190" s="27">
        <f>SUM(F158:G187)</f>
        <v>163472.78999999998</v>
      </c>
    </row>
    <row r="191" spans="1:14" ht="51.75" customHeight="1">
      <c r="A191" s="204" t="s">
        <v>199</v>
      </c>
      <c r="B191" s="204"/>
      <c r="C191" s="204"/>
      <c r="D191" s="204"/>
      <c r="E191" s="27">
        <f>E190+E154-E155</f>
        <v>-459403.73000000004</v>
      </c>
    </row>
    <row r="192" spans="1:14">
      <c r="A192" s="104" t="s">
        <v>173</v>
      </c>
    </row>
    <row r="193" spans="1:10" ht="62.25" customHeight="1">
      <c r="A193" s="178" t="s">
        <v>198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73</v>
      </c>
    </row>
    <row r="195" spans="1:10" ht="18.75" customHeight="1">
      <c r="A195" s="176" t="str">
        <f>ПТО!F13</f>
        <v xml:space="preserve">  -  техническое освидетельствование лифтов</v>
      </c>
      <c r="B195" s="176"/>
      <c r="C195" s="176"/>
      <c r="D195" s="176"/>
      <c r="E195" s="176"/>
      <c r="F195" s="176"/>
      <c r="G195" s="176"/>
      <c r="H195" s="49">
        <f>ПТО!G13</f>
        <v>16200</v>
      </c>
      <c r="I195" s="50" t="s">
        <v>73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12000</v>
      </c>
      <c r="I196" s="50" t="s">
        <v>73</v>
      </c>
    </row>
    <row r="197" spans="1:10" ht="18.75" customHeight="1">
      <c r="A197" s="176" t="str">
        <f>ПТО!F15</f>
        <v xml:space="preserve">  -  техническое обслуживание системы видеонаблюдения</v>
      </c>
      <c r="B197" s="176"/>
      <c r="C197" s="176"/>
      <c r="D197" s="176"/>
      <c r="E197" s="176"/>
      <c r="F197" s="176"/>
      <c r="G197" s="176"/>
      <c r="H197" s="49">
        <f>ПТО!G15</f>
        <v>26400</v>
      </c>
      <c r="I197" s="50" t="s">
        <v>73</v>
      </c>
    </row>
    <row r="198" spans="1:10" ht="18.75" customHeight="1">
      <c r="A198" s="176" t="str">
        <f>ПТО!F16</f>
        <v xml:space="preserve">  -  покраска металлического ограждения кровли</v>
      </c>
      <c r="B198" s="176"/>
      <c r="C198" s="176"/>
      <c r="D198" s="176"/>
      <c r="E198" s="176"/>
      <c r="F198" s="176"/>
      <c r="G198" s="176"/>
      <c r="H198" s="49">
        <f>ПТО!G16</f>
        <v>10000</v>
      </c>
      <c r="I198" s="52" t="s">
        <v>73</v>
      </c>
    </row>
    <row r="199" spans="1:10" ht="37.5" customHeight="1">
      <c r="A199" s="176" t="str">
        <f>ПТО!F17</f>
        <v xml:space="preserve">  -  покраска (обновление) бордюров и разлиновка парковочных мест</v>
      </c>
      <c r="B199" s="176"/>
      <c r="C199" s="176"/>
      <c r="D199" s="176"/>
      <c r="E199" s="176"/>
      <c r="F199" s="176"/>
      <c r="G199" s="176"/>
      <c r="H199" s="49">
        <f>ПТО!G17</f>
        <v>9000</v>
      </c>
      <c r="I199" s="50" t="s">
        <v>73</v>
      </c>
    </row>
    <row r="200" spans="1:10" ht="37.5" customHeight="1">
      <c r="A200" s="176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76"/>
      <c r="C200" s="176"/>
      <c r="D200" s="176"/>
      <c r="E200" s="176"/>
      <c r="F200" s="176"/>
      <c r="G200" s="176"/>
      <c r="H200" s="49">
        <f>ПТО!G18</f>
        <v>12000</v>
      </c>
      <c r="I200" s="50" t="s">
        <v>73</v>
      </c>
    </row>
    <row r="201" spans="1:10" ht="37.5" customHeight="1">
      <c r="A201" s="176" t="str">
        <f>ПТО!F19</f>
        <v xml:space="preserve">  -  ремонт асфальтного покрытия (трещины, ямы)  специализированной организацией</v>
      </c>
      <c r="B201" s="176"/>
      <c r="C201" s="176"/>
      <c r="D201" s="176"/>
      <c r="E201" s="176"/>
      <c r="F201" s="176"/>
      <c r="G201" s="176"/>
      <c r="H201" s="49">
        <f>ПТО!G19</f>
        <v>25000</v>
      </c>
      <c r="I201" s="50" t="s">
        <v>73</v>
      </c>
    </row>
    <row r="202" spans="1:10" ht="37.5" customHeight="1">
      <c r="A202" s="176" t="str">
        <f>ПТО!F20</f>
        <v xml:space="preserve">  -  замена уличных светильников, монтаж дополнительных уличных светодиодных светильников за домами </v>
      </c>
      <c r="B202" s="176"/>
      <c r="C202" s="176"/>
      <c r="D202" s="176"/>
      <c r="E202" s="176"/>
      <c r="F202" s="176"/>
      <c r="G202" s="176"/>
      <c r="H202" s="49">
        <f>ПТО!G20</f>
        <v>35000</v>
      </c>
      <c r="I202" s="50" t="s">
        <v>73</v>
      </c>
    </row>
    <row r="203" spans="1:10" ht="34.5" customHeight="1">
      <c r="A203" s="176" t="str">
        <f>ПТО!F21</f>
        <v xml:space="preserve">  -  ремонт подъезда (ремонт цокольного и 1-го этажей с укладкой плитки на стены)</v>
      </c>
      <c r="B203" s="176"/>
      <c r="C203" s="176"/>
      <c r="D203" s="176"/>
      <c r="E203" s="176"/>
      <c r="F203" s="176"/>
      <c r="G203" s="176"/>
      <c r="H203" s="49">
        <f>ПТО!G21</f>
        <v>350000</v>
      </c>
      <c r="I203" s="50" t="s">
        <v>73</v>
      </c>
    </row>
    <row r="204" spans="1:10" ht="26.25" customHeight="1">
      <c r="A204" s="176" t="str">
        <f>ПТО!F22</f>
        <v xml:space="preserve">  -  частичное укрытие металлом деформационных швов</v>
      </c>
      <c r="B204" s="176"/>
      <c r="C204" s="176"/>
      <c r="D204" s="176"/>
      <c r="E204" s="176"/>
      <c r="F204" s="176"/>
      <c r="G204" s="176"/>
      <c r="H204" s="49">
        <f>ПТО!G22</f>
        <v>30000</v>
      </c>
      <c r="I204" s="50" t="s">
        <v>73</v>
      </c>
    </row>
    <row r="205" spans="1:10">
      <c r="A205" s="176" t="str">
        <f>ПТО!F23</f>
        <v xml:space="preserve">  -  приобретение малых игровых форм для детской площадки</v>
      </c>
      <c r="B205" s="176"/>
      <c r="C205" s="176"/>
      <c r="D205" s="176"/>
      <c r="E205" s="176"/>
      <c r="F205" s="176"/>
      <c r="G205" s="176"/>
      <c r="H205" s="49">
        <f>ПТО!G23</f>
        <v>30000</v>
      </c>
      <c r="I205" s="50" t="s">
        <v>73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73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73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73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73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73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73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73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556800</v>
      </c>
      <c r="I214" s="56" t="s">
        <v>76</v>
      </c>
    </row>
  </sheetData>
  <sheetProtection algorithmName="SHA-512" hashValue="7FZ0UPK2keL1c6VTX+CShMC9ISpES/8+xSM0QahyCRIr/Cch6mEjXAUSDopIBw7SbftXmQ3HdYRnKLTP4DgJQg==" saltValue="ObPoXi9068b1qlpbu+m53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F24" sqref="F2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202</v>
      </c>
      <c r="G1" s="101">
        <f>-369004.52</f>
        <v>-369004.52</v>
      </c>
    </row>
    <row r="2" spans="1:12" ht="18.75" customHeight="1">
      <c r="A2" s="169" t="s">
        <v>183</v>
      </c>
      <c r="B2" s="170" t="s">
        <v>178</v>
      </c>
      <c r="C2" s="170">
        <v>2</v>
      </c>
      <c r="D2" s="118">
        <v>16200</v>
      </c>
      <c r="E2" s="171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72" t="s">
        <v>176</v>
      </c>
      <c r="B3" s="117" t="s">
        <v>179</v>
      </c>
      <c r="C3" s="117">
        <v>12</v>
      </c>
      <c r="D3" s="173">
        <v>26400</v>
      </c>
      <c r="E3" s="171" t="s">
        <v>213</v>
      </c>
      <c r="F3" s="30"/>
      <c r="G3" s="30"/>
      <c r="L3" s="33" t="str">
        <f t="shared" si="0"/>
        <v>ТР</v>
      </c>
    </row>
    <row r="4" spans="1:12" ht="18.75" customHeight="1">
      <c r="A4" s="174" t="s">
        <v>177</v>
      </c>
      <c r="B4" s="170" t="s">
        <v>179</v>
      </c>
      <c r="C4" s="170">
        <v>12</v>
      </c>
      <c r="D4" s="118">
        <v>12000</v>
      </c>
      <c r="E4" s="175" t="s">
        <v>214</v>
      </c>
      <c r="F4" s="30"/>
      <c r="G4" s="30"/>
      <c r="L4" s="33" t="str">
        <f t="shared" si="0"/>
        <v>ТР</v>
      </c>
    </row>
    <row r="5" spans="1:12" ht="30" customHeight="1">
      <c r="A5" s="155" t="s">
        <v>197</v>
      </c>
      <c r="B5" s="156" t="s">
        <v>196</v>
      </c>
      <c r="C5" s="157">
        <v>1</v>
      </c>
      <c r="D5" s="158">
        <v>16564.900000000001</v>
      </c>
      <c r="E5" s="159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60" t="s">
        <v>203</v>
      </c>
      <c r="B6" s="161" t="s">
        <v>196</v>
      </c>
      <c r="C6" s="162">
        <v>1</v>
      </c>
      <c r="D6" s="163">
        <v>58187.59</v>
      </c>
      <c r="E6" s="164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65" t="s">
        <v>207</v>
      </c>
      <c r="B7" s="123" t="s">
        <v>196</v>
      </c>
      <c r="C7" s="123">
        <v>1</v>
      </c>
      <c r="D7" s="124">
        <v>1987.8</v>
      </c>
      <c r="E7" s="150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65" t="s">
        <v>208</v>
      </c>
      <c r="B8" s="123" t="s">
        <v>196</v>
      </c>
      <c r="C8" s="123">
        <v>1</v>
      </c>
      <c r="D8" s="124">
        <v>3086.6</v>
      </c>
      <c r="E8" s="150" t="s">
        <v>211</v>
      </c>
      <c r="F8" s="45"/>
      <c r="G8" s="45"/>
      <c r="K8" s="43"/>
      <c r="L8" s="33" t="str">
        <f t="shared" si="0"/>
        <v>ТР</v>
      </c>
    </row>
    <row r="9" spans="1:12">
      <c r="A9" s="166" t="s">
        <v>204</v>
      </c>
      <c r="B9" s="128" t="s">
        <v>196</v>
      </c>
      <c r="C9" s="167">
        <v>1</v>
      </c>
      <c r="D9" s="168">
        <v>29045.9</v>
      </c>
      <c r="E9" s="150" t="s">
        <v>210</v>
      </c>
      <c r="F9" s="44"/>
      <c r="G9" s="44"/>
      <c r="K9" s="43"/>
      <c r="L9" s="33" t="str">
        <f t="shared" si="0"/>
        <v>ТР</v>
      </c>
    </row>
    <row r="10" spans="1:12">
      <c r="A10" s="149"/>
      <c r="B10" s="148"/>
      <c r="C10" s="117"/>
      <c r="D10" s="118"/>
      <c r="E10" s="138"/>
      <c r="L10" s="33">
        <f t="shared" si="0"/>
        <v>0</v>
      </c>
    </row>
    <row r="11" spans="1:12" ht="94.5">
      <c r="A11" s="149"/>
      <c r="B11" s="148"/>
      <c r="C11" s="117"/>
      <c r="D11" s="118"/>
      <c r="E11" s="138"/>
      <c r="F11" s="137" t="s">
        <v>198</v>
      </c>
      <c r="G11" s="111"/>
      <c r="L11" s="33">
        <f t="shared" si="0"/>
        <v>0</v>
      </c>
    </row>
    <row r="12" spans="1:12" ht="31.5">
      <c r="A12" s="151"/>
      <c r="B12" s="152"/>
      <c r="C12" s="153"/>
      <c r="D12" s="154"/>
      <c r="E12" s="150"/>
      <c r="F12" s="112" t="s">
        <v>72</v>
      </c>
      <c r="G12" s="113">
        <v>1200</v>
      </c>
      <c r="L12" s="33">
        <f t="shared" si="0"/>
        <v>0</v>
      </c>
    </row>
    <row r="13" spans="1:12" ht="31.5">
      <c r="A13" s="146"/>
      <c r="B13" s="147"/>
      <c r="C13" s="117"/>
      <c r="D13" s="118"/>
      <c r="E13" s="138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39"/>
      <c r="B14" s="140"/>
      <c r="C14" s="121"/>
      <c r="D14" s="124"/>
      <c r="E14" s="131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33"/>
      <c r="B15" s="134"/>
      <c r="C15" s="135"/>
      <c r="D15" s="136"/>
      <c r="E15" s="132"/>
      <c r="F15" s="112" t="s">
        <v>74</v>
      </c>
      <c r="G15" s="113">
        <v>26400</v>
      </c>
      <c r="L15" s="33">
        <f t="shared" si="0"/>
        <v>0</v>
      </c>
    </row>
    <row r="16" spans="1:12" ht="31.5">
      <c r="A16" s="133"/>
      <c r="B16" s="134"/>
      <c r="C16" s="135"/>
      <c r="D16" s="136"/>
      <c r="E16" s="132"/>
      <c r="F16" s="112" t="s">
        <v>215</v>
      </c>
      <c r="G16" s="113">
        <v>10000</v>
      </c>
      <c r="L16" s="33">
        <f t="shared" si="0"/>
        <v>0</v>
      </c>
    </row>
    <row r="17" spans="1:12" ht="31.5">
      <c r="A17" s="130"/>
      <c r="B17" s="121"/>
      <c r="C17" s="123"/>
      <c r="D17" s="124"/>
      <c r="E17" s="122"/>
      <c r="F17" s="112" t="s">
        <v>185</v>
      </c>
      <c r="G17" s="113">
        <v>9000</v>
      </c>
      <c r="L17" s="33">
        <f t="shared" si="0"/>
        <v>0</v>
      </c>
    </row>
    <row r="18" spans="1:12" ht="63">
      <c r="A18" s="126"/>
      <c r="B18" s="127"/>
      <c r="C18" s="128"/>
      <c r="D18" s="129"/>
      <c r="E18" s="125"/>
      <c r="F18" s="112" t="s">
        <v>216</v>
      </c>
      <c r="G18" s="113">
        <v>12000</v>
      </c>
      <c r="L18" s="33">
        <f t="shared" si="0"/>
        <v>0</v>
      </c>
    </row>
    <row r="19" spans="1:12" ht="47.25">
      <c r="A19" s="126"/>
      <c r="B19" s="127"/>
      <c r="C19" s="128"/>
      <c r="D19" s="129"/>
      <c r="E19" s="125"/>
      <c r="F19" s="112" t="s">
        <v>217</v>
      </c>
      <c r="G19" s="113">
        <v>25000</v>
      </c>
      <c r="L19" s="33">
        <f t="shared" si="0"/>
        <v>0</v>
      </c>
    </row>
    <row r="20" spans="1:12" ht="47.25">
      <c r="A20" s="30"/>
      <c r="F20" s="112" t="s">
        <v>218</v>
      </c>
      <c r="G20" s="113">
        <v>35000</v>
      </c>
      <c r="L20" s="33">
        <f t="shared" si="0"/>
        <v>0</v>
      </c>
    </row>
    <row r="21" spans="1:12" ht="47.25">
      <c r="F21" s="112" t="s">
        <v>220</v>
      </c>
      <c r="G21" s="113">
        <v>350000</v>
      </c>
      <c r="L21" s="33">
        <f t="shared" si="0"/>
        <v>0</v>
      </c>
    </row>
    <row r="22" spans="1:12" ht="31.5">
      <c r="F22" s="112" t="s">
        <v>221</v>
      </c>
      <c r="G22" s="113">
        <v>30000</v>
      </c>
      <c r="L22" s="33">
        <f t="shared" si="0"/>
        <v>0</v>
      </c>
    </row>
    <row r="23" spans="1:12" ht="31.5">
      <c r="F23" s="112" t="s">
        <v>219</v>
      </c>
      <c r="G23" s="113">
        <v>30000</v>
      </c>
      <c r="L23" s="33">
        <f t="shared" ref="L23:L31" si="1">IF(A23&gt;0,"ТР",0)</f>
        <v>0</v>
      </c>
    </row>
    <row r="24" spans="1:12" ht="15.75">
      <c r="F24" s="112"/>
      <c r="G24" s="113"/>
      <c r="L24" s="33">
        <f t="shared" si="1"/>
        <v>0</v>
      </c>
    </row>
    <row r="25" spans="1:12" ht="15.75">
      <c r="F25" s="112"/>
      <c r="G25" s="11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3">
        <v>211348.44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211348.44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3">
        <v>168190.2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168190.2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3">
        <v>57755.88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57755.88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3">
        <v>76161.600000000006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76161.600000000006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3">
        <v>49505.04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49505.04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43">
        <v>157400.63999999998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157400.63999999998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195</v>
      </c>
      <c r="B46" s="143">
        <v>15867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Обслуживание пожарной сигнализации</v>
      </c>
      <c r="N46" s="41">
        <f t="shared" si="4"/>
        <v>15867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1"/>
      <c r="C47" s="142"/>
      <c r="D47" s="48"/>
      <c r="E47" s="141">
        <v>1248.3</v>
      </c>
      <c r="F47" s="141">
        <v>960.7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43"/>
      <c r="C48" s="142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 t="s">
        <v>188</v>
      </c>
      <c r="F52" s="144" t="s">
        <v>189</v>
      </c>
      <c r="G52" s="144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>
        <v>35.896999999999998</v>
      </c>
      <c r="F53" s="141">
        <v>5289</v>
      </c>
      <c r="G53" s="144">
        <v>3.83</v>
      </c>
      <c r="H53" s="144">
        <f>G53*E47/F53</f>
        <v>0.90394951786727162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 t="s">
        <v>191</v>
      </c>
      <c r="G54" s="144" t="s">
        <v>192</v>
      </c>
      <c r="H54" s="144">
        <f>H53*G56</f>
        <v>40.677728304027227</v>
      </c>
    </row>
    <row r="55" spans="5:16">
      <c r="E55" s="144"/>
      <c r="F55" s="144">
        <v>1.17</v>
      </c>
      <c r="G55" s="144">
        <v>1.23</v>
      </c>
      <c r="H55" s="144"/>
    </row>
    <row r="56" spans="5:16">
      <c r="E56" s="144"/>
      <c r="F56" s="144"/>
      <c r="G56" s="144">
        <v>45</v>
      </c>
      <c r="H56" s="144"/>
    </row>
    <row r="57" spans="5:16">
      <c r="E57" s="144"/>
      <c r="F57" s="144"/>
      <c r="G57" s="144"/>
      <c r="H57" s="144"/>
    </row>
    <row r="58" spans="5:16">
      <c r="E58" s="144" t="s">
        <v>193</v>
      </c>
      <c r="F58" s="144"/>
      <c r="G58" s="144"/>
      <c r="H58" s="144"/>
    </row>
    <row r="59" spans="5:16">
      <c r="E59" s="144">
        <v>0.59599999999999997</v>
      </c>
      <c r="F59" s="141">
        <f>F53</f>
        <v>5289</v>
      </c>
      <c r="G59" s="144">
        <v>7.4999999999999997E-2</v>
      </c>
      <c r="H59" s="144">
        <f>G59*F47</f>
        <v>72.052499999999995</v>
      </c>
    </row>
    <row r="60" spans="5:16">
      <c r="E60" s="144"/>
      <c r="F60" s="144" t="s">
        <v>191</v>
      </c>
      <c r="G60" s="144" t="s">
        <v>192</v>
      </c>
      <c r="H60" s="144">
        <f>H59/F59</f>
        <v>1.3623085649461145E-2</v>
      </c>
    </row>
    <row r="61" spans="5:16">
      <c r="E61" s="144"/>
      <c r="F61" s="144">
        <v>12.94</v>
      </c>
      <c r="G61" s="144">
        <v>13.45</v>
      </c>
      <c r="H61" s="144">
        <f>H60*G56</f>
        <v>0.61303885422575155</v>
      </c>
    </row>
    <row r="62" spans="5:16">
      <c r="E62" s="144" t="s">
        <v>194</v>
      </c>
      <c r="F62" s="144"/>
      <c r="G62" s="144"/>
      <c r="H62" s="144"/>
    </row>
    <row r="63" spans="5:16">
      <c r="E63" s="144">
        <v>0.59599999999999997</v>
      </c>
      <c r="F63" s="141">
        <f>F53</f>
        <v>5289</v>
      </c>
      <c r="G63" s="144">
        <v>7.4999999999999997E-2</v>
      </c>
      <c r="H63" s="144">
        <f>G63*F47</f>
        <v>72.052499999999995</v>
      </c>
    </row>
    <row r="64" spans="5:16">
      <c r="E64" s="144"/>
      <c r="F64" s="144" t="s">
        <v>191</v>
      </c>
      <c r="G64" s="144" t="s">
        <v>192</v>
      </c>
      <c r="H64" s="144">
        <f>H63/F63</f>
        <v>1.3623085649461145E-2</v>
      </c>
    </row>
    <row r="65" spans="4:13" ht="18.75" customHeight="1">
      <c r="E65" s="144"/>
      <c r="F65" s="144">
        <v>15.73</v>
      </c>
      <c r="G65" s="144">
        <v>16.350000000000001</v>
      </c>
      <c r="H65" s="144">
        <f>H64*G56</f>
        <v>0.61303885422575155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4/xZ2q6kArqAXJXLom9bjR7ChuSP+dn6qYn1PED9T6UhfVpTtQsorKtPs0AGnf2w3blViySXS3XIcwZWnDcqw==" saltValue="7G/ILIW7AQiOVVKB/R7V3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5289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19">
        <v>4</v>
      </c>
      <c r="F2" s="120" t="s">
        <v>181</v>
      </c>
      <c r="G2" s="120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1162027.24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1380949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813516.52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253872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313560.48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1346969.97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1346969.97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1346969.97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1196006.2700000003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104</v>
      </c>
      <c r="B27" s="75" t="s">
        <v>3</v>
      </c>
      <c r="C27" s="86">
        <v>97321.98</v>
      </c>
      <c r="D27" s="81" t="s">
        <v>59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107</v>
      </c>
      <c r="B30" s="75" t="s">
        <v>17</v>
      </c>
      <c r="C30" s="86">
        <f>C27+E45+E53-C47-C55</f>
        <v>100644.24000000005</v>
      </c>
      <c r="D30" s="81" t="s">
        <v>65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205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45"/>
      <c r="G40" s="67"/>
      <c r="H40" s="67"/>
      <c r="L40" s="63"/>
      <c r="M40" s="205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145"/>
      <c r="G41" s="67"/>
      <c r="H41" s="67"/>
      <c r="L41" s="63"/>
      <c r="M41" s="205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145"/>
      <c r="G42" s="67"/>
      <c r="H42" s="67"/>
      <c r="L42" s="63"/>
      <c r="M42" s="205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212489.34</v>
      </c>
      <c r="F45" s="94" t="s">
        <v>166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f>E45/15.95</f>
        <v>13322.215673981191</v>
      </c>
      <c r="D46" s="94" t="s">
        <v>167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208961.85</v>
      </c>
      <c r="D47" s="94" t="s">
        <v>165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3527.4899999999907</v>
      </c>
      <c r="D48" s="80" t="s">
        <v>58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212489.34</v>
      </c>
      <c r="D49" s="80" t="s">
        <v>58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212489.34</v>
      </c>
      <c r="D50" s="80" t="s">
        <v>58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235390.82</v>
      </c>
      <c r="F53" s="94" t="s">
        <v>166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f>E53/19.39</f>
        <v>12139.805054151624</v>
      </c>
      <c r="D54" s="94" t="s">
        <v>167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235596.05</v>
      </c>
      <c r="D55" s="94" t="s">
        <v>165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235390.82</v>
      </c>
      <c r="D57" s="80" t="s">
        <v>58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235390.82</v>
      </c>
      <c r="D58" s="80" t="s">
        <v>58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2" sqref="F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2025-03-18T01:29:41Z</dcterms:modified>
</cp:coreProperties>
</file>