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сводная" sheetId="66" r:id="rId5"/>
  </sheets>
  <externalReferences>
    <externalReference r:id="rId6"/>
    <externalReference r:id="rId7"/>
    <externalReference r:id="rId8"/>
  </externalReferences>
  <definedNames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AE28" i="66"/>
  <c r="AD28"/>
  <c r="AB103" l="1"/>
  <c r="AB102"/>
  <c r="AB101"/>
  <c r="AB99"/>
  <c r="X65"/>
  <c r="AB88"/>
  <c r="AB87"/>
  <c r="AB86"/>
  <c r="AB85"/>
  <c r="AB83"/>
  <c r="AB82"/>
  <c r="AB81"/>
  <c r="AB80"/>
  <c r="AB79"/>
  <c r="AB78"/>
  <c r="AB71"/>
  <c r="AB63"/>
  <c r="AB58"/>
  <c r="AB56"/>
  <c r="AB55"/>
  <c r="AB48"/>
  <c r="AB47"/>
  <c r="AB46"/>
  <c r="AB45"/>
  <c r="AB44"/>
  <c r="AB43"/>
  <c r="AB42"/>
  <c r="AB40"/>
  <c r="AB39"/>
  <c r="AB36"/>
  <c r="AB35"/>
  <c r="AB32"/>
  <c r="AB31"/>
  <c r="AB26"/>
  <c r="AB25"/>
  <c r="AB24"/>
  <c r="AB23"/>
  <c r="AB22"/>
  <c r="AB21"/>
  <c r="AB20"/>
  <c r="AB18"/>
  <c r="AB17"/>
  <c r="AB16"/>
  <c r="AB14"/>
  <c r="AB13"/>
  <c r="AB9"/>
  <c r="E103"/>
  <c r="E102"/>
  <c r="E101"/>
  <c r="AA65"/>
  <c r="AA64"/>
  <c r="AA61"/>
  <c r="AA60"/>
  <c r="AA59"/>
  <c r="AA67"/>
  <c r="AA66"/>
  <c r="Z61"/>
  <c r="Z65"/>
  <c r="Z64"/>
  <c r="Z60"/>
  <c r="Z59"/>
  <c r="Z67"/>
  <c r="Z66"/>
  <c r="Y65"/>
  <c r="Y67"/>
  <c r="Y64"/>
  <c r="Y62"/>
  <c r="Y61"/>
  <c r="Y60"/>
  <c r="Y59"/>
  <c r="Y66"/>
  <c r="AA87"/>
  <c r="AA86"/>
  <c r="AA83"/>
  <c r="AA101" s="1"/>
  <c r="AA77"/>
  <c r="AA48"/>
  <c r="AA36"/>
  <c r="AA37" s="1"/>
  <c r="AA32"/>
  <c r="AA33" s="1"/>
  <c r="AA26"/>
  <c r="AA90" s="1"/>
  <c r="AA92" s="1"/>
  <c r="AA103" s="1"/>
  <c r="AA15"/>
  <c r="AA96" s="1"/>
  <c r="AA98" s="1"/>
  <c r="AA11"/>
  <c r="Z87"/>
  <c r="Z86"/>
  <c r="Z88" s="1"/>
  <c r="Z102" s="1"/>
  <c r="Z82"/>
  <c r="Z81"/>
  <c r="Z77"/>
  <c r="Z48"/>
  <c r="Z36"/>
  <c r="Z37" s="1"/>
  <c r="Z32"/>
  <c r="Z33" s="1"/>
  <c r="Z26"/>
  <c r="Z90" s="1"/>
  <c r="Z92" s="1"/>
  <c r="Z103" s="1"/>
  <c r="Z15"/>
  <c r="Z96" s="1"/>
  <c r="Z98" s="1"/>
  <c r="Z11"/>
  <c r="Y87"/>
  <c r="Y86"/>
  <c r="Y82"/>
  <c r="Y81"/>
  <c r="Y77"/>
  <c r="Y48"/>
  <c r="Y37"/>
  <c r="Y36"/>
  <c r="Y33"/>
  <c r="Y32"/>
  <c r="Y26"/>
  <c r="Y90" s="1"/>
  <c r="Y92" s="1"/>
  <c r="Y103" s="1"/>
  <c r="Y15"/>
  <c r="Y11"/>
  <c r="V67"/>
  <c r="V66"/>
  <c r="W66" s="1"/>
  <c r="V65"/>
  <c r="V64"/>
  <c r="V62"/>
  <c r="W62" s="1"/>
  <c r="V61"/>
  <c r="V59"/>
  <c r="V57"/>
  <c r="U67"/>
  <c r="U66"/>
  <c r="U65"/>
  <c r="U64"/>
  <c r="U62"/>
  <c r="U61"/>
  <c r="U59"/>
  <c r="U57"/>
  <c r="V97"/>
  <c r="V87"/>
  <c r="V86"/>
  <c r="V82"/>
  <c r="V81"/>
  <c r="V74"/>
  <c r="V77" s="1"/>
  <c r="V48"/>
  <c r="V36"/>
  <c r="V37" s="1"/>
  <c r="V32"/>
  <c r="V33" s="1"/>
  <c r="V26"/>
  <c r="V90" s="1"/>
  <c r="V92" s="1"/>
  <c r="V103" s="1"/>
  <c r="V15"/>
  <c r="V11"/>
  <c r="U97"/>
  <c r="U87"/>
  <c r="U86"/>
  <c r="U82"/>
  <c r="U81"/>
  <c r="U77"/>
  <c r="U48"/>
  <c r="U36"/>
  <c r="U37" s="1"/>
  <c r="U32"/>
  <c r="U33" s="1"/>
  <c r="U26"/>
  <c r="U90" s="1"/>
  <c r="U92" s="1"/>
  <c r="U103" s="1"/>
  <c r="U15"/>
  <c r="U11"/>
  <c r="Q67"/>
  <c r="Q66"/>
  <c r="R66" s="1"/>
  <c r="S66" s="1"/>
  <c r="T66" s="1"/>
  <c r="Q65"/>
  <c r="Q64"/>
  <c r="Q62"/>
  <c r="R62" s="1"/>
  <c r="R72" s="1"/>
  <c r="Q61"/>
  <c r="Q60"/>
  <c r="Q59"/>
  <c r="Q57"/>
  <c r="Q87"/>
  <c r="Q86"/>
  <c r="Q82"/>
  <c r="Q81"/>
  <c r="Q83" s="1"/>
  <c r="Q101" s="1"/>
  <c r="Q77"/>
  <c r="Q48"/>
  <c r="Q37"/>
  <c r="Q36"/>
  <c r="Q33"/>
  <c r="Q32"/>
  <c r="Q28"/>
  <c r="Q26"/>
  <c r="Q90" s="1"/>
  <c r="Q92" s="1"/>
  <c r="Q103" s="1"/>
  <c r="Q15"/>
  <c r="Q96" s="1"/>
  <c r="Q98" s="1"/>
  <c r="Q11"/>
  <c r="Q6" s="1"/>
  <c r="M103"/>
  <c r="M82"/>
  <c r="M81"/>
  <c r="M77"/>
  <c r="M69"/>
  <c r="M68"/>
  <c r="M72" s="1"/>
  <c r="M48"/>
  <c r="M39"/>
  <c r="M36"/>
  <c r="M37" s="1"/>
  <c r="M32"/>
  <c r="M33" s="1"/>
  <c r="M26"/>
  <c r="M90" s="1"/>
  <c r="M92" s="1"/>
  <c r="M15"/>
  <c r="M11"/>
  <c r="X87"/>
  <c r="X86"/>
  <c r="X82"/>
  <c r="X81"/>
  <c r="X76"/>
  <c r="X75"/>
  <c r="X69"/>
  <c r="Y69" s="1"/>
  <c r="Z69" s="1"/>
  <c r="AA69" s="1"/>
  <c r="X68"/>
  <c r="X48"/>
  <c r="X37"/>
  <c r="X36"/>
  <c r="X33"/>
  <c r="X32"/>
  <c r="X28"/>
  <c r="X26"/>
  <c r="X90" s="1"/>
  <c r="X92" s="1"/>
  <c r="X103" s="1"/>
  <c r="X15"/>
  <c r="X11"/>
  <c r="W87"/>
  <c r="W86"/>
  <c r="W88" s="1"/>
  <c r="W102" s="1"/>
  <c r="W82"/>
  <c r="W81"/>
  <c r="W76"/>
  <c r="W75"/>
  <c r="W74"/>
  <c r="W69"/>
  <c r="W68"/>
  <c r="W48"/>
  <c r="W36"/>
  <c r="W37" s="1"/>
  <c r="W32"/>
  <c r="W33" s="1"/>
  <c r="W26"/>
  <c r="W90" s="1"/>
  <c r="W92" s="1"/>
  <c r="W103" s="1"/>
  <c r="W15"/>
  <c r="W11"/>
  <c r="T87"/>
  <c r="T86"/>
  <c r="T82"/>
  <c r="T81"/>
  <c r="T76"/>
  <c r="T75"/>
  <c r="T69"/>
  <c r="U69" s="1"/>
  <c r="V69" s="1"/>
  <c r="T68"/>
  <c r="U68" s="1"/>
  <c r="V68" s="1"/>
  <c r="T48"/>
  <c r="T36"/>
  <c r="T37" s="1"/>
  <c r="T32"/>
  <c r="T33" s="1"/>
  <c r="T26"/>
  <c r="T90" s="1"/>
  <c r="T92" s="1"/>
  <c r="T103" s="1"/>
  <c r="T15"/>
  <c r="T11"/>
  <c r="S87"/>
  <c r="S86"/>
  <c r="S82"/>
  <c r="S81"/>
  <c r="S76"/>
  <c r="S75"/>
  <c r="S69"/>
  <c r="S68"/>
  <c r="S48"/>
  <c r="S36"/>
  <c r="S37" s="1"/>
  <c r="S32"/>
  <c r="S33" s="1"/>
  <c r="S26"/>
  <c r="S90" s="1"/>
  <c r="S92" s="1"/>
  <c r="S103" s="1"/>
  <c r="S15"/>
  <c r="S11"/>
  <c r="R87"/>
  <c r="R86"/>
  <c r="R82"/>
  <c r="R81"/>
  <c r="R76"/>
  <c r="R75"/>
  <c r="R74"/>
  <c r="R69"/>
  <c r="R68"/>
  <c r="R48"/>
  <c r="R36"/>
  <c r="R37" s="1"/>
  <c r="R32"/>
  <c r="R33" s="1"/>
  <c r="R26"/>
  <c r="R90" s="1"/>
  <c r="R92" s="1"/>
  <c r="R103" s="1"/>
  <c r="R15"/>
  <c r="R11"/>
  <c r="P87"/>
  <c r="P86"/>
  <c r="P88" s="1"/>
  <c r="P102" s="1"/>
  <c r="P82"/>
  <c r="P81"/>
  <c r="P83" s="1"/>
  <c r="P101" s="1"/>
  <c r="P76"/>
  <c r="P75"/>
  <c r="P77" s="1"/>
  <c r="P69"/>
  <c r="Q69" s="1"/>
  <c r="P68"/>
  <c r="Q68" s="1"/>
  <c r="P48"/>
  <c r="P37"/>
  <c r="P36"/>
  <c r="P33"/>
  <c r="P32"/>
  <c r="P26"/>
  <c r="P90" s="1"/>
  <c r="P92" s="1"/>
  <c r="P103" s="1"/>
  <c r="P15"/>
  <c r="P11"/>
  <c r="P6" s="1"/>
  <c r="O86"/>
  <c r="O85"/>
  <c r="O82"/>
  <c r="O81"/>
  <c r="O76"/>
  <c r="O75"/>
  <c r="O69"/>
  <c r="O68"/>
  <c r="O48"/>
  <c r="O39"/>
  <c r="O36"/>
  <c r="O37" s="1"/>
  <c r="O32"/>
  <c r="O33" s="1"/>
  <c r="O26"/>
  <c r="O15"/>
  <c r="O11"/>
  <c r="N103"/>
  <c r="N85"/>
  <c r="N82"/>
  <c r="N81"/>
  <c r="N76"/>
  <c r="N75"/>
  <c r="N69"/>
  <c r="N68"/>
  <c r="N66"/>
  <c r="O66" s="1"/>
  <c r="P66" s="1"/>
  <c r="N62"/>
  <c r="N48"/>
  <c r="N39"/>
  <c r="N36"/>
  <c r="N37" s="1"/>
  <c r="N32"/>
  <c r="N33" s="1"/>
  <c r="N26"/>
  <c r="N90" s="1"/>
  <c r="N92" s="1"/>
  <c r="N17"/>
  <c r="N87" s="1"/>
  <c r="N15"/>
  <c r="N11"/>
  <c r="L87"/>
  <c r="L85"/>
  <c r="L82"/>
  <c r="L81"/>
  <c r="L76"/>
  <c r="L75"/>
  <c r="L48"/>
  <c r="L36"/>
  <c r="L37" s="1"/>
  <c r="L32"/>
  <c r="L33" s="1"/>
  <c r="L26"/>
  <c r="L90" s="1"/>
  <c r="L92" s="1"/>
  <c r="L103" s="1"/>
  <c r="L15"/>
  <c r="L11"/>
  <c r="K87"/>
  <c r="K85"/>
  <c r="K82"/>
  <c r="K81"/>
  <c r="K76"/>
  <c r="K75"/>
  <c r="K69"/>
  <c r="K68"/>
  <c r="K48"/>
  <c r="K36"/>
  <c r="K37" s="1"/>
  <c r="K32"/>
  <c r="K33" s="1"/>
  <c r="K26"/>
  <c r="K90" s="1"/>
  <c r="K92" s="1"/>
  <c r="K103" s="1"/>
  <c r="K15"/>
  <c r="K11"/>
  <c r="J87"/>
  <c r="J85"/>
  <c r="J82"/>
  <c r="J81"/>
  <c r="J76"/>
  <c r="J75"/>
  <c r="J74"/>
  <c r="J77" s="1"/>
  <c r="J69"/>
  <c r="J68"/>
  <c r="J48"/>
  <c r="J36"/>
  <c r="J37" s="1"/>
  <c r="J32"/>
  <c r="J33" s="1"/>
  <c r="J26"/>
  <c r="J90" s="1"/>
  <c r="J92" s="1"/>
  <c r="J103" s="1"/>
  <c r="J15"/>
  <c r="J11"/>
  <c r="J6" s="1"/>
  <c r="I97"/>
  <c r="I87"/>
  <c r="I85"/>
  <c r="I82"/>
  <c r="I81"/>
  <c r="I76"/>
  <c r="I75"/>
  <c r="I69"/>
  <c r="I68"/>
  <c r="I48"/>
  <c r="I36"/>
  <c r="I37" s="1"/>
  <c r="I32"/>
  <c r="I33" s="1"/>
  <c r="I26"/>
  <c r="I90" s="1"/>
  <c r="I92" s="1"/>
  <c r="I103" s="1"/>
  <c r="I15"/>
  <c r="I11"/>
  <c r="H87"/>
  <c r="H85"/>
  <c r="H82"/>
  <c r="H81"/>
  <c r="H76"/>
  <c r="H75"/>
  <c r="H69"/>
  <c r="AB69" s="1"/>
  <c r="H68"/>
  <c r="AB68" s="1"/>
  <c r="H48"/>
  <c r="H36"/>
  <c r="H37" s="1"/>
  <c r="H32"/>
  <c r="H33" s="1"/>
  <c r="H26"/>
  <c r="H90" s="1"/>
  <c r="H92" s="1"/>
  <c r="H103" s="1"/>
  <c r="H16"/>
  <c r="H15"/>
  <c r="H11"/>
  <c r="H6" s="1"/>
  <c r="G87"/>
  <c r="G85"/>
  <c r="G82"/>
  <c r="G81"/>
  <c r="G76"/>
  <c r="G75"/>
  <c r="G48"/>
  <c r="G36"/>
  <c r="G37" s="1"/>
  <c r="G32"/>
  <c r="G33" s="1"/>
  <c r="G26"/>
  <c r="G90" s="1"/>
  <c r="G92" s="1"/>
  <c r="G103" s="1"/>
  <c r="G15"/>
  <c r="G11"/>
  <c r="F87"/>
  <c r="F85"/>
  <c r="F82"/>
  <c r="F81"/>
  <c r="F76"/>
  <c r="F75"/>
  <c r="F66"/>
  <c r="G66" s="1"/>
  <c r="H66" s="1"/>
  <c r="I66" s="1"/>
  <c r="J66" s="1"/>
  <c r="K66" s="1"/>
  <c r="L66" s="1"/>
  <c r="F62"/>
  <c r="G62" s="1"/>
  <c r="H62" s="1"/>
  <c r="F57"/>
  <c r="F48"/>
  <c r="F36"/>
  <c r="F37" s="1"/>
  <c r="F32"/>
  <c r="F33" s="1"/>
  <c r="F26"/>
  <c r="F90" s="1"/>
  <c r="F92" s="1"/>
  <c r="F103" s="1"/>
  <c r="F15"/>
  <c r="F11"/>
  <c r="E87"/>
  <c r="E85"/>
  <c r="E82"/>
  <c r="E81"/>
  <c r="E76"/>
  <c r="AB76" s="1"/>
  <c r="E75"/>
  <c r="AB75" s="1"/>
  <c r="D54"/>
  <c r="E48"/>
  <c r="E36"/>
  <c r="E37" s="1"/>
  <c r="AB37" s="1"/>
  <c r="E32"/>
  <c r="E33" s="1"/>
  <c r="E26"/>
  <c r="E90" s="1"/>
  <c r="E92" s="1"/>
  <c r="E15"/>
  <c r="AB15" s="1"/>
  <c r="E11"/>
  <c r="AB11" s="1"/>
  <c r="AB61" l="1"/>
  <c r="AB59"/>
  <c r="AB65"/>
  <c r="AB67"/>
  <c r="AB64"/>
  <c r="AB66"/>
  <c r="AB97"/>
  <c r="AB74"/>
  <c r="E28"/>
  <c r="AB33"/>
  <c r="R77"/>
  <c r="X6"/>
  <c r="U6"/>
  <c r="V6"/>
  <c r="Y6"/>
  <c r="F6"/>
  <c r="E95"/>
  <c r="W83"/>
  <c r="W101" s="1"/>
  <c r="R95"/>
  <c r="I28"/>
  <c r="K28"/>
  <c r="L28"/>
  <c r="S28"/>
  <c r="T28"/>
  <c r="W28"/>
  <c r="M28"/>
  <c r="Z28"/>
  <c r="Z83"/>
  <c r="Z101" s="1"/>
  <c r="F28"/>
  <c r="L6"/>
  <c r="O6"/>
  <c r="M6"/>
  <c r="Z6"/>
  <c r="Z49" s="1"/>
  <c r="N28"/>
  <c r="G6"/>
  <c r="G77"/>
  <c r="G96" s="1"/>
  <c r="G98" s="1"/>
  <c r="G83"/>
  <c r="G101" s="1"/>
  <c r="G88"/>
  <c r="G102" s="1"/>
  <c r="I77"/>
  <c r="I83"/>
  <c r="I101" s="1"/>
  <c r="I88"/>
  <c r="I102" s="1"/>
  <c r="K77"/>
  <c r="K96" s="1"/>
  <c r="K98" s="1"/>
  <c r="K83"/>
  <c r="K101" s="1"/>
  <c r="K88"/>
  <c r="K102" s="1"/>
  <c r="L77"/>
  <c r="L96" s="1"/>
  <c r="L98" s="1"/>
  <c r="L83"/>
  <c r="L101" s="1"/>
  <c r="L88"/>
  <c r="L102" s="1"/>
  <c r="O77"/>
  <c r="O96" s="1"/>
  <c r="O98" s="1"/>
  <c r="O83"/>
  <c r="O101" s="1"/>
  <c r="P96"/>
  <c r="P98" s="1"/>
  <c r="T6"/>
  <c r="T99" s="1"/>
  <c r="W6"/>
  <c r="Q88"/>
  <c r="Q102" s="1"/>
  <c r="Y96"/>
  <c r="Y98" s="1"/>
  <c r="Y83"/>
  <c r="Y101" s="1"/>
  <c r="Y88"/>
  <c r="Y102" s="1"/>
  <c r="I96"/>
  <c r="P28"/>
  <c r="P49" s="1"/>
  <c r="Q72"/>
  <c r="M99"/>
  <c r="Y28"/>
  <c r="Y99" s="1"/>
  <c r="I62"/>
  <c r="J28"/>
  <c r="J49" s="1"/>
  <c r="O28"/>
  <c r="O90" s="1"/>
  <c r="U28"/>
  <c r="U99" s="1"/>
  <c r="AA70"/>
  <c r="AB70" s="1"/>
  <c r="AA72"/>
  <c r="AA51" s="1"/>
  <c r="X49"/>
  <c r="L49"/>
  <c r="Q49"/>
  <c r="F77"/>
  <c r="F96" s="1"/>
  <c r="F98" s="1"/>
  <c r="F83"/>
  <c r="F101" s="1"/>
  <c r="F88"/>
  <c r="F102" s="1"/>
  <c r="H28"/>
  <c r="H99" s="1"/>
  <c r="H77"/>
  <c r="H96" s="1"/>
  <c r="H98" s="1"/>
  <c r="H83"/>
  <c r="H101" s="1"/>
  <c r="H88"/>
  <c r="H102" s="1"/>
  <c r="I6"/>
  <c r="I49" s="1"/>
  <c r="J83"/>
  <c r="J101" s="1"/>
  <c r="J88"/>
  <c r="J102" s="1"/>
  <c r="N77"/>
  <c r="N96" s="1"/>
  <c r="N98" s="1"/>
  <c r="N83"/>
  <c r="N101" s="1"/>
  <c r="N88"/>
  <c r="N102" s="1"/>
  <c r="R96"/>
  <c r="R98" s="1"/>
  <c r="R28"/>
  <c r="R83"/>
  <c r="R101" s="1"/>
  <c r="R88"/>
  <c r="R102" s="1"/>
  <c r="S77"/>
  <c r="S96" s="1"/>
  <c r="S98" s="1"/>
  <c r="S83"/>
  <c r="S101" s="1"/>
  <c r="S88"/>
  <c r="S102" s="1"/>
  <c r="T77"/>
  <c r="T96" s="1"/>
  <c r="T98" s="1"/>
  <c r="T83"/>
  <c r="T101" s="1"/>
  <c r="T88"/>
  <c r="T102" s="1"/>
  <c r="W77"/>
  <c r="W96" s="1"/>
  <c r="W98" s="1"/>
  <c r="X77"/>
  <c r="X96" s="1"/>
  <c r="X98" s="1"/>
  <c r="X83"/>
  <c r="X101" s="1"/>
  <c r="X88"/>
  <c r="X102" s="1"/>
  <c r="M96"/>
  <c r="M98" s="1"/>
  <c r="M100" s="1"/>
  <c r="M83"/>
  <c r="M101" s="1"/>
  <c r="U96"/>
  <c r="U98" s="1"/>
  <c r="U83"/>
  <c r="U101" s="1"/>
  <c r="U88"/>
  <c r="U102" s="1"/>
  <c r="V96"/>
  <c r="V98" s="1"/>
  <c r="V28"/>
  <c r="V99" s="1"/>
  <c r="V83"/>
  <c r="V101" s="1"/>
  <c r="V88"/>
  <c r="V102" s="1"/>
  <c r="AA28"/>
  <c r="AA88"/>
  <c r="AA102" s="1"/>
  <c r="Z72"/>
  <c r="Z51" s="1"/>
  <c r="Y72"/>
  <c r="Y95" s="1"/>
  <c r="Z95"/>
  <c r="AA6"/>
  <c r="Y49"/>
  <c r="W57"/>
  <c r="W72" s="1"/>
  <c r="X72"/>
  <c r="X51" s="1"/>
  <c r="U49"/>
  <c r="Q51"/>
  <c r="Q95"/>
  <c r="S62"/>
  <c r="Q99"/>
  <c r="Q100" s="1"/>
  <c r="N72"/>
  <c r="N73" s="1"/>
  <c r="M95"/>
  <c r="O62"/>
  <c r="M49"/>
  <c r="M87"/>
  <c r="M88" s="1"/>
  <c r="M51" s="1"/>
  <c r="X99"/>
  <c r="S6"/>
  <c r="R51"/>
  <c r="R6"/>
  <c r="R49" s="1"/>
  <c r="O87"/>
  <c r="O88" s="1"/>
  <c r="N6"/>
  <c r="J96"/>
  <c r="J98" s="1"/>
  <c r="L99"/>
  <c r="K6"/>
  <c r="K49" s="1"/>
  <c r="I98"/>
  <c r="I99"/>
  <c r="H49"/>
  <c r="F72"/>
  <c r="G57"/>
  <c r="G28"/>
  <c r="F49"/>
  <c r="E6"/>
  <c r="E99" s="1"/>
  <c r="E72"/>
  <c r="E77"/>
  <c r="E83"/>
  <c r="E88"/>
  <c r="Y51" l="1"/>
  <c r="AB62"/>
  <c r="AB57"/>
  <c r="J99"/>
  <c r="S99"/>
  <c r="S100" s="1"/>
  <c r="Y100"/>
  <c r="AB77"/>
  <c r="AB96" s="1"/>
  <c r="AB98" s="1"/>
  <c r="AB100" s="1"/>
  <c r="F99"/>
  <c r="E98"/>
  <c r="E100" s="1"/>
  <c r="E96"/>
  <c r="E49"/>
  <c r="AB6"/>
  <c r="N95"/>
  <c r="AB73"/>
  <c r="AB28"/>
  <c r="AB49" s="1"/>
  <c r="O92"/>
  <c r="AB90"/>
  <c r="N51"/>
  <c r="W49"/>
  <c r="U100"/>
  <c r="W99"/>
  <c r="W100" s="1"/>
  <c r="F100"/>
  <c r="O49"/>
  <c r="Z99"/>
  <c r="Z100" s="1"/>
  <c r="T100"/>
  <c r="T49"/>
  <c r="V49"/>
  <c r="F51"/>
  <c r="J100"/>
  <c r="L100"/>
  <c r="N99"/>
  <c r="N100" s="1"/>
  <c r="O99"/>
  <c r="O100" s="1"/>
  <c r="P99"/>
  <c r="P100" s="1"/>
  <c r="AA95"/>
  <c r="G72"/>
  <c r="G95" s="1"/>
  <c r="H57"/>
  <c r="K99"/>
  <c r="K100" s="1"/>
  <c r="AA49"/>
  <c r="J62"/>
  <c r="K62" s="1"/>
  <c r="R99"/>
  <c r="R100" s="1"/>
  <c r="X100"/>
  <c r="AA99"/>
  <c r="AA100" s="1"/>
  <c r="X95"/>
  <c r="W95"/>
  <c r="W51"/>
  <c r="V100"/>
  <c r="S72"/>
  <c r="T62"/>
  <c r="T72" s="1"/>
  <c r="M102"/>
  <c r="O72"/>
  <c r="O95" s="1"/>
  <c r="P62"/>
  <c r="P72" s="1"/>
  <c r="S49"/>
  <c r="O102"/>
  <c r="N49"/>
  <c r="I100"/>
  <c r="F95"/>
  <c r="G51"/>
  <c r="G99"/>
  <c r="G100" s="1"/>
  <c r="G49"/>
  <c r="E51"/>
  <c r="O103" l="1"/>
  <c r="AB92"/>
  <c r="L62"/>
  <c r="L72" s="1"/>
  <c r="I57"/>
  <c r="H72"/>
  <c r="T51"/>
  <c r="T95"/>
  <c r="S51"/>
  <c r="S95"/>
  <c r="P51"/>
  <c r="P95"/>
  <c r="O51"/>
  <c r="J57" l="1"/>
  <c r="I72"/>
  <c r="H95"/>
  <c r="H100" s="1"/>
  <c r="H51"/>
  <c r="L51"/>
  <c r="L95"/>
  <c r="J72" l="1"/>
  <c r="K57"/>
  <c r="K72" s="1"/>
  <c r="I51"/>
  <c r="I95"/>
  <c r="J51" l="1"/>
  <c r="J95"/>
  <c r="K51"/>
  <c r="K95"/>
  <c r="AE33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97" l="1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V60" i="66" l="1"/>
  <c r="V72" s="1"/>
  <c r="U60"/>
  <c r="V51" l="1"/>
  <c r="V95"/>
  <c r="AB60"/>
  <c r="U72"/>
  <c r="U51" l="1"/>
  <c r="AB51" s="1"/>
  <c r="U95"/>
  <c r="AB72"/>
  <c r="AB95" s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  <author>Admin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  <comment ref="M86" authorId="1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из акта №0196 от 10.09.12 -за июль-декабрь
</t>
        </r>
      </text>
    </comment>
  </commentList>
</comments>
</file>

<file path=xl/sharedStrings.xml><?xml version="1.0" encoding="utf-8"?>
<sst xmlns="http://schemas.openxmlformats.org/spreadsheetml/2006/main" count="412" uniqueCount="185">
  <si>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</si>
  <si>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</si>
  <si>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</si>
  <si>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</si>
  <si>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</si>
  <si>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</si>
  <si>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</si>
  <si>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</si>
  <si>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</si>
  <si>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</si>
  <si>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</si>
  <si>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</si>
  <si>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</si>
  <si>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</si>
  <si>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</si>
  <si>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</si>
  <si>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</si>
  <si>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</si>
  <si>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</si>
  <si>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</si>
  <si>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</si>
  <si>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</si>
  <si>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</si>
  <si>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</si>
  <si>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</si>
  <si>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</si>
  <si>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</si>
  <si>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</si>
  <si>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</si>
  <si>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</si>
  <si>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</si>
  <si>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</si>
  <si>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</si>
  <si>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</si>
  <si>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</si>
  <si>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</si>
  <si>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</si>
  <si>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</si>
  <si>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</si>
  <si>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</si>
  <si>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</si>
  <si>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</si>
  <si>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</si>
  <si>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</si>
  <si>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</si>
  <si>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</si>
  <si>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</si>
  <si>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</si>
  <si>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</si>
  <si>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</si>
  <si>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</si>
  <si>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</si>
  <si>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</si>
  <si>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</si>
  <si>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</si>
  <si>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</si>
  <si>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</si>
  <si>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</si>
  <si>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</si>
  <si>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</si>
  <si>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</si>
  <si>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</si>
  <si>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</si>
  <si>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</si>
  <si>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</si>
  <si>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</si>
  <si>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</si>
  <si>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</si>
  <si>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</si>
  <si>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</si>
  <si>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</si>
  <si>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</si>
  <si>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</si>
  <si>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</si>
  <si>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</si>
  <si>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</si>
  <si>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</si>
  <si>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</si>
  <si>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</si>
  <si>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</si>
  <si>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</si>
  <si>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</si>
  <si>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</si>
  <si>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</si>
  <si>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</si>
  <si>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</si>
  <si>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</si>
  <si>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</si>
  <si>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</si>
  <si>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</si>
  <si>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</si>
  <si>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</si>
  <si>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</si>
  <si>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</si>
  <si>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</si>
  <si>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</si>
  <si>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</si>
  <si>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</si>
  <si>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</si>
  <si>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</si>
  <si>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</si>
  <si>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</si>
  <si>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</si>
  <si>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</si>
  <si>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</si>
  <si>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</si>
  <si>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</si>
  <si>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</si>
  <si>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</si>
  <si>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</si>
  <si>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</si>
  <si>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</si>
  <si>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</si>
  <si>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</si>
  <si>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</si>
  <si>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</si>
  <si>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</si>
  <si>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</si>
  <si>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</si>
  <si>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</si>
  <si>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</si>
  <si>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</si>
  <si>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</si>
  <si>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</si>
  <si>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</si>
  <si>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</si>
  <si>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</si>
  <si>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</si>
  <si>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</si>
  <si>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</si>
  <si>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</si>
  <si>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</si>
  <si>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</si>
  <si>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</si>
  <si>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По статье "Содержание" за 2012г.</t>
  </si>
  <si>
    <t>По статье "Текущий ремонт" за 2012г.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</si>
  <si>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</si>
  <si>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</si>
  <si>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</si>
  <si>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*Услуги паспортного стола</t>
  </si>
  <si>
    <t>1350*2*12</t>
  </si>
  <si>
    <t>Начислено на содержание общего имущества  по лицевым счетам нанимателям и собственникам жилых помещений, в том числе вывоз         мусора и освещение мест общего пользования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</si>
  <si>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</si>
  <si>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</si>
  <si>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</si>
  <si>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</si>
  <si>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</si>
  <si>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</si>
  <si>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</si>
  <si>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</si>
  <si>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</si>
  <si>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</si>
  <si>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</si>
  <si>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</si>
  <si>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</si>
  <si>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</si>
  <si>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</si>
  <si>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</si>
  <si>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</si>
  <si>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</si>
  <si>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</si>
  <si>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</si>
  <si>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</si>
  <si>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</si>
  <si>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</si>
  <si>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</si>
  <si>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</si>
  <si>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</si>
  <si>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</si>
  <si>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</si>
  <si>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*по договору  на содержание общего имущества:</t>
  </si>
  <si>
    <t>в т.ч. Расходы по размещению антены</t>
  </si>
  <si>
    <t>ВСЕГО расходов по размещению антены</t>
  </si>
  <si>
    <t>Остаток по размещению антены на 01.01.13 с учетом остатка на 01.01.12г.</t>
  </si>
  <si>
    <t>Ремонт крыши</t>
  </si>
  <si>
    <t xml:space="preserve">ВСЕГО расходов </t>
  </si>
  <si>
    <t>Абонентское обслуживание входной двери 2 подъезд</t>
  </si>
  <si>
    <t>* Начислено за ремонт кровли (доп.тариф)</t>
  </si>
  <si>
    <t>* Оплачено за ремонт кровли (доп.тариф)</t>
  </si>
  <si>
    <t xml:space="preserve">в т.ч. Расходы банков за проведение коммунальных платежей   
в т.ч. Расходы банков за проведение коммунальных платежей   
</t>
  </si>
  <si>
    <t>*услуги по управлению дома</t>
  </si>
  <si>
    <t>*работы, выполняемые при подготовке Дома к сезонной эксплуатации</t>
  </si>
  <si>
    <t xml:space="preserve">* Оплачено за размещение антены </t>
  </si>
  <si>
    <t>Начислено за домофон</t>
  </si>
  <si>
    <t>Оплачено за домофон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</si>
</sst>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0" formatCode="_-* #,##0_р_._-;\-* #,##0_р_._-;_-* &quot;-&quot;??_р_._-;_-@_-"/>
  </numFmts>
  <fonts count="10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b/>
      <i/>
      <sz val="10"/>
      <color rgb="FFCC00CC"/>
      <name val="Arial"/>
      <family val="2"/>
      <charset val="204"/>
    </font>
    <font>
      <b/>
      <sz val="10"/>
      <color rgb="FF80008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933FF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  <font>
      <sz val="10"/>
      <color rgb="FF9933FF"/>
      <name val="Arial"/>
      <family val="2"/>
      <charset val="204"/>
    </font>
    <font>
      <b/>
      <sz val="10"/>
      <color rgb="FF9933FF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sz val="9"/>
      <color rgb="FF7030A0"/>
      <name val="Arial"/>
      <family val="2"/>
      <charset val="204"/>
    </font>
    <font>
      <sz val="9"/>
      <color rgb="FF009242"/>
      <name val="Arial"/>
      <family val="2"/>
      <charset val="204"/>
    </font>
    <font>
      <sz val="10"/>
      <color rgb="FF009242"/>
      <name val="Arial"/>
      <family val="2"/>
      <charset val="204"/>
    </font>
    <font>
      <b/>
      <sz val="9"/>
      <color rgb="FF009242"/>
      <name val="Arial"/>
      <family val="2"/>
      <charset val="204"/>
    </font>
    <font>
      <b/>
      <sz val="10"/>
      <color rgb="FF009242"/>
      <name val="Arial"/>
      <family val="2"/>
      <charset val="204"/>
    </font>
    <font>
      <i/>
      <sz val="10"/>
      <color rgb="FF9933FF"/>
      <name val="Arial"/>
      <family val="2"/>
      <charset val="204"/>
    </font>
    <font>
      <sz val="9"/>
      <color rgb="FFFF00FF"/>
      <name val="Arial"/>
      <family val="2"/>
      <charset val="204"/>
    </font>
    <font>
      <b/>
      <sz val="10"/>
      <color rgb="FF00B05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BE5F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89" fillId="0" borderId="0"/>
    <xf numFmtId="0" fontId="1" fillId="0" borderId="0"/>
    <xf numFmtId="43" fontId="90" fillId="0" borderId="0" applyFont="0" applyFill="0" applyBorder="0" applyAlignment="0" applyProtection="0"/>
  </cellStyleXfs>
  <cellXfs count="739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11" fillId="6" borderId="1" xfId="3" applyFont="1" applyFill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166" fontId="48" fillId="0" borderId="1" xfId="3" applyNumberFormat="1" applyFont="1" applyFill="1" applyBorder="1" applyAlignment="1">
      <alignment horizontal="right"/>
    </xf>
    <xf numFmtId="166" fontId="15" fillId="0" borderId="1" xfId="3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15" fillId="0" borderId="1" xfId="0" applyNumberFormat="1" applyFont="1" applyFill="1" applyBorder="1" applyAlignment="1">
      <alignment horizontal="center"/>
    </xf>
    <xf numFmtId="38" fontId="0" fillId="0" borderId="0" xfId="0" applyNumberFormat="1"/>
    <xf numFmtId="38" fontId="30" fillId="0" borderId="1" xfId="2" applyNumberFormat="1" applyFont="1" applyBorder="1" applyAlignment="1">
      <alignment horizontal="center"/>
    </xf>
    <xf numFmtId="38" fontId="24" fillId="0" borderId="1" xfId="0" applyNumberFormat="1" applyFont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 wrapText="1"/>
    </xf>
    <xf numFmtId="38" fontId="23" fillId="6" borderId="1" xfId="2" applyNumberFormat="1" applyFont="1" applyFill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1" fontId="27" fillId="0" borderId="1" xfId="2" applyNumberFormat="1" applyFont="1" applyFill="1" applyBorder="1" applyAlignment="1">
      <alignment horizontal="center" vertical="center" wrapText="1"/>
    </xf>
    <xf numFmtId="41" fontId="25" fillId="0" borderId="1" xfId="2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170" fontId="23" fillId="0" borderId="1" xfId="2" applyNumberFormat="1" applyFont="1" applyFill="1" applyBorder="1" applyAlignment="1">
      <alignment horizontal="center" vertical="center" wrapText="1"/>
    </xf>
    <xf numFmtId="170" fontId="25" fillId="0" borderId="1" xfId="2" applyNumberFormat="1" applyFont="1" applyFill="1" applyBorder="1" applyAlignment="1">
      <alignment horizontal="center" vertical="center" wrapText="1"/>
    </xf>
    <xf numFmtId="166" fontId="48" fillId="0" borderId="1" xfId="3" applyNumberFormat="1" applyFont="1" applyFill="1" applyBorder="1" applyAlignment="1">
      <alignment horizontal="right" vertical="center"/>
    </xf>
    <xf numFmtId="41" fontId="23" fillId="0" borderId="1" xfId="2" applyNumberFormat="1" applyFont="1" applyBorder="1" applyAlignment="1">
      <alignment horizontal="center" vertical="center" wrapText="1"/>
    </xf>
    <xf numFmtId="41" fontId="23" fillId="0" borderId="1" xfId="2" applyNumberFormat="1" applyFont="1" applyFill="1" applyBorder="1" applyAlignment="1">
      <alignment horizontal="center" vertical="center" wrapText="1"/>
    </xf>
    <xf numFmtId="41" fontId="31" fillId="0" borderId="1" xfId="2" applyNumberFormat="1" applyFont="1" applyBorder="1" applyAlignment="1">
      <alignment horizontal="center" wrapText="1"/>
    </xf>
    <xf numFmtId="41" fontId="25" fillId="6" borderId="1" xfId="2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center"/>
    </xf>
    <xf numFmtId="41" fontId="30" fillId="0" borderId="1" xfId="2" applyNumberFormat="1" applyFont="1" applyBorder="1" applyAlignment="1">
      <alignment horizontal="center" wrapText="1"/>
    </xf>
    <xf numFmtId="41" fontId="23" fillId="6" borderId="1" xfId="2" applyNumberFormat="1" applyFont="1" applyFill="1" applyBorder="1" applyAlignment="1">
      <alignment horizontal="center" wrapText="1"/>
    </xf>
    <xf numFmtId="41" fontId="25" fillId="0" borderId="1" xfId="2" applyNumberFormat="1" applyFont="1" applyBorder="1" applyAlignment="1">
      <alignment horizontal="center" wrapText="1"/>
    </xf>
    <xf numFmtId="41" fontId="15" fillId="0" borderId="1" xfId="3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1" fillId="0" borderId="1" xfId="3" applyFont="1" applyFill="1" applyBorder="1" applyAlignment="1">
      <alignment horizontal="center" vertical="center" wrapText="1"/>
    </xf>
    <xf numFmtId="166" fontId="85" fillId="0" borderId="1" xfId="4" applyNumberFormat="1" applyFont="1" applyFill="1" applyBorder="1" applyAlignment="1">
      <alignment horizontal="right" vertical="center"/>
    </xf>
    <xf numFmtId="40" fontId="39" fillId="0" borderId="1" xfId="4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66" fontId="13" fillId="0" borderId="1" xfId="3" applyNumberFormat="1" applyFont="1" applyFill="1" applyBorder="1" applyAlignment="1">
      <alignment horizontal="right"/>
    </xf>
    <xf numFmtId="0" fontId="86" fillId="0" borderId="1" xfId="3" applyFont="1" applyFill="1" applyBorder="1" applyAlignment="1">
      <alignment horizontal="center" vertical="center" wrapText="1"/>
    </xf>
    <xf numFmtId="40" fontId="86" fillId="0" borderId="1" xfId="4" applyNumberFormat="1" applyFont="1" applyFill="1" applyBorder="1" applyAlignment="1">
      <alignment horizontal="center" vertical="center" wrapText="1"/>
    </xf>
    <xf numFmtId="40" fontId="33" fillId="0" borderId="1" xfId="4" applyNumberFormat="1" applyFont="1" applyFill="1" applyBorder="1" applyAlignment="1">
      <alignment horizontal="center" vertical="center" wrapText="1"/>
    </xf>
    <xf numFmtId="40" fontId="34" fillId="0" borderId="1" xfId="4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0" fontId="85" fillId="0" borderId="1" xfId="3" applyFont="1" applyFill="1" applyBorder="1" applyAlignment="1">
      <alignment horizontal="center" vertical="center"/>
    </xf>
    <xf numFmtId="40" fontId="3" fillId="0" borderId="1" xfId="4" applyNumberFormat="1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166" fontId="85" fillId="0" borderId="1" xfId="4" applyNumberFormat="1" applyFont="1" applyFill="1" applyBorder="1" applyAlignment="1">
      <alignment horizontal="right"/>
    </xf>
    <xf numFmtId="9" fontId="11" fillId="6" borderId="1" xfId="5" applyFont="1" applyFill="1" applyBorder="1" applyAlignment="1">
      <alignment horizontal="center" vertical="center" wrapText="1"/>
    </xf>
    <xf numFmtId="164" fontId="11" fillId="6" borderId="1" xfId="4" applyFont="1" applyFill="1" applyBorder="1" applyAlignment="1">
      <alignment horizontal="left" vertical="center" wrapText="1"/>
    </xf>
    <xf numFmtId="166" fontId="13" fillId="0" borderId="1" xfId="3" applyNumberFormat="1" applyFont="1" applyFill="1" applyBorder="1" applyAlignment="1">
      <alignment horizontal="right" vertical="center"/>
    </xf>
    <xf numFmtId="164" fontId="3" fillId="0" borderId="1" xfId="4" applyFont="1" applyFill="1" applyBorder="1" applyAlignment="1">
      <alignment horizontal="left" vertical="center" wrapText="1"/>
    </xf>
    <xf numFmtId="166" fontId="87" fillId="0" borderId="1" xfId="3" applyNumberFormat="1" applyFont="1" applyFill="1" applyBorder="1" applyAlignment="1">
      <alignment horizontal="right" vertical="center"/>
    </xf>
    <xf numFmtId="164" fontId="3" fillId="0" borderId="1" xfId="4" applyFont="1" applyFill="1" applyBorder="1" applyAlignment="1">
      <alignment horizontal="center" vertical="center" wrapText="1"/>
    </xf>
    <xf numFmtId="40" fontId="11" fillId="6" borderId="1" xfId="0" applyNumberFormat="1" applyFont="1" applyFill="1" applyBorder="1" applyAlignment="1">
      <alignment horizontal="center" vertical="center" wrapText="1"/>
    </xf>
    <xf numFmtId="41" fontId="24" fillId="0" borderId="1" xfId="2" applyNumberFormat="1" applyFont="1" applyBorder="1" applyAlignment="1">
      <alignment horizontal="left"/>
    </xf>
    <xf numFmtId="41" fontId="24" fillId="0" borderId="1" xfId="2" applyNumberFormat="1" applyFont="1" applyBorder="1" applyAlignment="1">
      <alignment horizontal="left" wrapText="1"/>
    </xf>
    <xf numFmtId="38" fontId="86" fillId="6" borderId="1" xfId="0" applyNumberFormat="1" applyFont="1" applyFill="1" applyBorder="1" applyAlignment="1">
      <alignment horizontal="center" vertical="center" wrapText="1"/>
    </xf>
    <xf numFmtId="41" fontId="86" fillId="6" borderId="1" xfId="2" applyNumberFormat="1" applyFont="1" applyFill="1" applyBorder="1" applyAlignment="1">
      <alignment horizontal="left" wrapText="1"/>
    </xf>
    <xf numFmtId="40" fontId="26" fillId="0" borderId="1" xfId="4" applyNumberFormat="1" applyFont="1" applyBorder="1" applyAlignment="1">
      <alignment horizontal="center" wrapText="1"/>
    </xf>
    <xf numFmtId="0" fontId="33" fillId="6" borderId="1" xfId="3" applyFont="1" applyFill="1" applyBorder="1" applyAlignment="1">
      <alignment horizontal="center" vertical="center" wrapText="1"/>
    </xf>
    <xf numFmtId="40" fontId="33" fillId="6" borderId="1" xfId="4" applyNumberFormat="1" applyFont="1" applyFill="1" applyBorder="1" applyAlignment="1">
      <alignment horizontal="center" vertical="center" wrapText="1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2" fontId="86" fillId="0" borderId="1" xfId="2" applyNumberFormat="1" applyFont="1" applyFill="1" applyBorder="1" applyAlignment="1">
      <alignment horizontal="center" vertical="center" wrapText="1"/>
    </xf>
    <xf numFmtId="2" fontId="33" fillId="0" borderId="1" xfId="2" applyNumberFormat="1" applyFont="1" applyFill="1" applyBorder="1" applyAlignment="1">
      <alignment horizontal="center" vertical="center" wrapText="1"/>
    </xf>
    <xf numFmtId="166" fontId="88" fillId="0" borderId="1" xfId="3" applyNumberFormat="1" applyFont="1" applyFill="1" applyBorder="1" applyAlignment="1">
      <alignment horizontal="right" vertical="center"/>
    </xf>
    <xf numFmtId="166" fontId="3" fillId="0" borderId="1" xfId="3" applyNumberFormat="1" applyFont="1" applyFill="1" applyBorder="1" applyAlignment="1">
      <alignment horizontal="right"/>
    </xf>
    <xf numFmtId="166" fontId="3" fillId="0" borderId="1" xfId="3" applyNumberFormat="1" applyFont="1" applyFill="1" applyBorder="1" applyAlignment="1">
      <alignment horizontal="right" vertical="center"/>
    </xf>
    <xf numFmtId="166" fontId="11" fillId="0" borderId="1" xfId="3" applyNumberFormat="1" applyFont="1" applyFill="1" applyBorder="1" applyAlignment="1">
      <alignment horizontal="right" vertical="center"/>
    </xf>
    <xf numFmtId="166" fontId="91" fillId="0" borderId="1" xfId="3" applyNumberFormat="1" applyFont="1" applyFill="1" applyBorder="1" applyAlignment="1">
      <alignment horizontal="right" vertical="center"/>
    </xf>
    <xf numFmtId="40" fontId="93" fillId="0" borderId="1" xfId="0" applyNumberFormat="1" applyFont="1" applyFill="1" applyBorder="1" applyAlignment="1">
      <alignment horizontal="center" vertical="center" wrapText="1"/>
    </xf>
    <xf numFmtId="166" fontId="93" fillId="0" borderId="1" xfId="3" applyNumberFormat="1" applyFont="1" applyFill="1" applyBorder="1" applyAlignment="1">
      <alignment horizontal="right" vertical="center"/>
    </xf>
    <xf numFmtId="40" fontId="92" fillId="0" borderId="1" xfId="0" applyNumberFormat="1" applyFont="1" applyFill="1" applyBorder="1" applyAlignment="1">
      <alignment horizontal="center" vertical="center" wrapText="1"/>
    </xf>
    <xf numFmtId="41" fontId="5" fillId="0" borderId="1" xfId="3" applyNumberFormat="1" applyFont="1" applyFill="1" applyBorder="1" applyAlignment="1">
      <alignment horizontal="center" vertical="center"/>
    </xf>
    <xf numFmtId="41" fontId="94" fillId="0" borderId="1" xfId="2" applyNumberFormat="1" applyFont="1" applyFill="1" applyBorder="1" applyAlignment="1">
      <alignment horizontal="center" vertical="center" wrapText="1"/>
    </xf>
    <xf numFmtId="41" fontId="95" fillId="0" borderId="1" xfId="2" applyNumberFormat="1" applyFont="1" applyFill="1" applyBorder="1" applyAlignment="1">
      <alignment horizontal="center" vertical="center" wrapText="1"/>
    </xf>
    <xf numFmtId="41" fontId="28" fillId="0" borderId="1" xfId="4" applyNumberFormat="1" applyFont="1" applyBorder="1" applyAlignment="1">
      <alignment horizontal="center" vertical="center" wrapText="1"/>
    </xf>
    <xf numFmtId="41" fontId="91" fillId="0" borderId="1" xfId="3" applyNumberFormat="1" applyFont="1" applyFill="1" applyBorder="1" applyAlignment="1">
      <alignment horizontal="center" vertical="center" wrapText="1"/>
    </xf>
    <xf numFmtId="166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41" fontId="96" fillId="0" borderId="1" xfId="2" applyNumberFormat="1" applyFont="1" applyFill="1" applyBorder="1" applyAlignment="1">
      <alignment horizontal="center" vertical="center" wrapText="1"/>
    </xf>
    <xf numFmtId="40" fontId="97" fillId="0" borderId="1" xfId="4" applyNumberFormat="1" applyFont="1" applyBorder="1" applyAlignment="1">
      <alignment horizontal="center" wrapText="1"/>
    </xf>
    <xf numFmtId="41" fontId="98" fillId="0" borderId="1" xfId="2" applyNumberFormat="1" applyFont="1" applyFill="1" applyBorder="1" applyAlignment="1">
      <alignment horizontal="center" vertical="center" wrapText="1"/>
    </xf>
    <xf numFmtId="41" fontId="99" fillId="0" borderId="1" xfId="2" applyNumberFormat="1" applyFont="1" applyFill="1" applyBorder="1" applyAlignment="1">
      <alignment horizontal="center" vertical="center" wrapText="1"/>
    </xf>
    <xf numFmtId="166" fontId="100" fillId="0" borderId="1" xfId="3" applyNumberFormat="1" applyFont="1" applyFill="1" applyBorder="1" applyAlignment="1">
      <alignment horizontal="right" vertical="center"/>
    </xf>
    <xf numFmtId="41" fontId="101" fillId="0" borderId="1" xfId="2" applyNumberFormat="1" applyFont="1" applyFill="1" applyBorder="1" applyAlignment="1">
      <alignment horizontal="center" vertical="center" wrapText="1"/>
    </xf>
    <xf numFmtId="166" fontId="102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3" fillId="0" borderId="1" xfId="3" applyFont="1" applyFill="1" applyBorder="1" applyAlignment="1">
      <alignment horizontal="center"/>
    </xf>
    <xf numFmtId="0" fontId="24" fillId="0" borderId="1" xfId="3" applyFont="1" applyFill="1" applyBorder="1" applyAlignment="1">
      <alignment horizontal="left" wrapText="1"/>
    </xf>
    <xf numFmtId="38" fontId="26" fillId="0" borderId="1" xfId="0" applyNumberFormat="1" applyFont="1" applyBorder="1" applyAlignment="1">
      <alignment horizontal="left"/>
    </xf>
    <xf numFmtId="41" fontId="6" fillId="0" borderId="1" xfId="2" applyNumberFormat="1" applyFont="1" applyFill="1" applyBorder="1" applyAlignment="1">
      <alignment horizontal="center" vertical="top" wrapText="1"/>
    </xf>
    <xf numFmtId="2" fontId="34" fillId="0" borderId="8" xfId="2" applyNumberFormat="1" applyFont="1" applyFill="1" applyBorder="1" applyAlignment="1">
      <alignment horizontal="center" vertical="center" wrapText="1"/>
    </xf>
    <xf numFmtId="2" fontId="27" fillId="0" borderId="8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8" fontId="6" fillId="0" borderId="1" xfId="2" applyNumberFormat="1" applyFont="1" applyFill="1" applyBorder="1" applyAlignment="1">
      <alignment horizontal="center" wrapText="1"/>
    </xf>
    <xf numFmtId="40" fontId="5" fillId="0" borderId="1" xfId="2" applyNumberFormat="1" applyFont="1" applyBorder="1" applyAlignment="1">
      <alignment horizontal="center"/>
    </xf>
    <xf numFmtId="40" fontId="6" fillId="0" borderId="1" xfId="2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vertical="center"/>
    </xf>
    <xf numFmtId="40" fontId="3" fillId="0" borderId="1" xfId="4" applyNumberFormat="1" applyFont="1" applyBorder="1" applyAlignment="1">
      <alignment horizontal="center"/>
    </xf>
    <xf numFmtId="38" fontId="5" fillId="0" borderId="1" xfId="2" applyNumberFormat="1" applyFont="1" applyBorder="1" applyAlignment="1">
      <alignment horizontal="center"/>
    </xf>
    <xf numFmtId="0" fontId="3" fillId="0" borderId="1" xfId="3" applyFont="1" applyFill="1" applyBorder="1" applyAlignment="1">
      <alignment horizontal="center" vertical="center" wrapText="1"/>
    </xf>
    <xf numFmtId="40" fontId="11" fillId="0" borderId="1" xfId="4" applyNumberFormat="1" applyFont="1" applyFill="1" applyBorder="1" applyAlignment="1">
      <alignment horizontal="center" vertical="center" wrapText="1"/>
    </xf>
    <xf numFmtId="38" fontId="6" fillId="0" borderId="1" xfId="2" applyNumberFormat="1" applyFont="1" applyFill="1" applyBorder="1" applyAlignment="1">
      <alignment horizontal="center" vertical="center" wrapText="1"/>
    </xf>
    <xf numFmtId="164" fontId="3" fillId="6" borderId="1" xfId="4" applyFont="1" applyFill="1" applyBorder="1" applyAlignment="1">
      <alignment horizontal="left" vertical="center" wrapText="1"/>
    </xf>
    <xf numFmtId="167" fontId="29" fillId="0" borderId="1" xfId="0" applyNumberFormat="1" applyFont="1" applyBorder="1" applyAlignment="1">
      <alignment horizontal="center" vertical="center"/>
    </xf>
    <xf numFmtId="0" fontId="24" fillId="0" borderId="1" xfId="3" applyFont="1" applyFill="1" applyBorder="1" applyAlignment="1">
      <alignment horizontal="left"/>
    </xf>
    <xf numFmtId="38" fontId="29" fillId="0" borderId="1" xfId="0" applyNumberFormat="1" applyFont="1" applyBorder="1" applyAlignment="1">
      <alignment horizontal="center" vertical="center"/>
    </xf>
    <xf numFmtId="0" fontId="42" fillId="0" borderId="1" xfId="3" applyFont="1" applyBorder="1" applyAlignment="1"/>
    <xf numFmtId="0" fontId="3" fillId="0" borderId="1" xfId="3" applyFont="1" applyBorder="1" applyAlignment="1">
      <alignment horizontal="center" vertical="center" wrapText="1"/>
    </xf>
    <xf numFmtId="40" fontId="3" fillId="0" borderId="1" xfId="4" applyNumberFormat="1" applyFont="1" applyBorder="1" applyAlignment="1">
      <alignment horizontal="center" wrapText="1"/>
    </xf>
    <xf numFmtId="38" fontId="5" fillId="0" borderId="1" xfId="2" applyNumberFormat="1" applyFont="1" applyBorder="1" applyAlignment="1">
      <alignment horizontal="center" wrapText="1"/>
    </xf>
    <xf numFmtId="0" fontId="13" fillId="6" borderId="1" xfId="3" applyFont="1" applyFill="1" applyBorder="1" applyAlignment="1">
      <alignment vertical="center" wrapText="1"/>
    </xf>
    <xf numFmtId="38" fontId="0" fillId="0" borderId="1" xfId="0" applyNumberFormat="1" applyBorder="1"/>
    <xf numFmtId="166" fontId="0" fillId="0" borderId="1" xfId="0" applyNumberFormat="1" applyBorder="1"/>
    <xf numFmtId="9" fontId="6" fillId="0" borderId="1" xfId="1" applyFont="1" applyFill="1" applyBorder="1" applyAlignment="1">
      <alignment horizontal="center" vertical="center" wrapText="1"/>
    </xf>
    <xf numFmtId="38" fontId="32" fillId="0" borderId="1" xfId="2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/>
    <xf numFmtId="41" fontId="0" fillId="0" borderId="0" xfId="0" applyNumberFormat="1"/>
    <xf numFmtId="2" fontId="0" fillId="0" borderId="0" xfId="0" applyNumberFormat="1"/>
    <xf numFmtId="43" fontId="0" fillId="0" borderId="0" xfId="0" applyNumberFormat="1"/>
    <xf numFmtId="4" fontId="0" fillId="0" borderId="0" xfId="0" applyNumberFormat="1"/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69" fillId="0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54" fillId="9" borderId="9" xfId="3" applyFont="1" applyFill="1" applyBorder="1" applyAlignment="1">
      <alignment horizontal="center" vertical="center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80" fillId="0" borderId="1" xfId="3" applyFont="1" applyFill="1" applyBorder="1" applyAlignment="1">
      <alignment vertical="center" wrapText="1"/>
    </xf>
    <xf numFmtId="0" fontId="78" fillId="0" borderId="1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82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166" fontId="11" fillId="0" borderId="1" xfId="0" applyNumberFormat="1" applyFont="1" applyBorder="1" applyAlignment="1">
      <alignment horizontal="center" vertical="center"/>
    </xf>
    <xf numFmtId="166" fontId="11" fillId="0" borderId="7" xfId="0" applyNumberFormat="1" applyFont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0" fontId="11" fillId="0" borderId="6" xfId="3" applyFont="1" applyFill="1" applyBorder="1" applyAlignment="1">
      <alignment horizontal="center"/>
    </xf>
    <xf numFmtId="0" fontId="11" fillId="0" borderId="2" xfId="3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41" fontId="6" fillId="0" borderId="1" xfId="2" applyNumberFormat="1" applyFont="1" applyFill="1" applyBorder="1" applyAlignment="1">
      <alignment horizontal="center" vertical="center" wrapText="1"/>
    </xf>
    <xf numFmtId="0" fontId="13" fillId="6" borderId="1" xfId="3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37" fillId="0" borderId="1" xfId="3" applyFont="1" applyFill="1" applyBorder="1" applyAlignment="1">
      <alignment horizontal="left"/>
    </xf>
    <xf numFmtId="166" fontId="15" fillId="0" borderId="1" xfId="3" applyNumberFormat="1" applyFont="1" applyFill="1" applyBorder="1" applyAlignment="1">
      <alignment horizontal="right" vertical="center"/>
    </xf>
    <xf numFmtId="38" fontId="45" fillId="0" borderId="1" xfId="0" applyNumberFormat="1" applyFont="1" applyFill="1" applyBorder="1" applyAlignment="1">
      <alignment horizontal="left" vertical="center" wrapText="1"/>
    </xf>
    <xf numFmtId="38" fontId="46" fillId="6" borderId="1" xfId="0" applyNumberFormat="1" applyFont="1" applyFill="1" applyBorder="1" applyAlignment="1">
      <alignment horizontal="left" wrapText="1"/>
    </xf>
    <xf numFmtId="0" fontId="25" fillId="0" borderId="11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4" xfId="0" applyFont="1" applyFill="1" applyBorder="1" applyAlignment="1">
      <alignment horizontal="left" wrapText="1"/>
    </xf>
    <xf numFmtId="0" fontId="46" fillId="0" borderId="1" xfId="3" applyFont="1" applyFill="1" applyBorder="1" applyAlignment="1">
      <alignment horizontal="left" wrapText="1"/>
    </xf>
    <xf numFmtId="0" fontId="46" fillId="0" borderId="1" xfId="3" applyFont="1" applyFill="1" applyBorder="1" applyAlignment="1">
      <alignment horizontal="left" vertical="center" wrapText="1"/>
    </xf>
    <xf numFmtId="0" fontId="24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92" fillId="0" borderId="1" xfId="3" applyFont="1" applyFill="1" applyBorder="1" applyAlignment="1">
      <alignment horizontal="left" wrapText="1"/>
    </xf>
    <xf numFmtId="0" fontId="29" fillId="0" borderId="1" xfId="3" applyFont="1" applyBorder="1" applyAlignment="1">
      <alignment horizontal="center"/>
    </xf>
    <xf numFmtId="38" fontId="25" fillId="0" borderId="1" xfId="0" applyNumberFormat="1" applyFont="1" applyFill="1" applyBorder="1" applyAlignment="1">
      <alignment horizontal="left" wrapText="1"/>
    </xf>
    <xf numFmtId="38" fontId="27" fillId="0" borderId="1" xfId="0" applyNumberFormat="1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6" borderId="1" xfId="3" applyFont="1" applyFill="1" applyBorder="1" applyAlignment="1">
      <alignment horizontal="left" wrapText="1"/>
    </xf>
    <xf numFmtId="0" fontId="11" fillId="6" borderId="1" xfId="3" applyFont="1" applyFill="1" applyBorder="1" applyAlignment="1">
      <alignment horizontal="center" vertical="center" wrapText="1"/>
    </xf>
    <xf numFmtId="166" fontId="13" fillId="0" borderId="1" xfId="3" applyNumberFormat="1" applyFont="1" applyFill="1" applyBorder="1" applyAlignment="1">
      <alignment horizontal="right" vertical="center"/>
    </xf>
    <xf numFmtId="0" fontId="3" fillId="6" borderId="1" xfId="3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left" wrapText="1"/>
    </xf>
    <xf numFmtId="38" fontId="25" fillId="0" borderId="1" xfId="0" applyNumberFormat="1" applyFont="1" applyFill="1" applyBorder="1" applyAlignment="1">
      <alignment horizontal="left"/>
    </xf>
    <xf numFmtId="38" fontId="5" fillId="0" borderId="1" xfId="0" applyNumberFormat="1" applyFont="1" applyFill="1" applyBorder="1" applyAlignment="1">
      <alignment horizontal="left" wrapText="1"/>
    </xf>
    <xf numFmtId="0" fontId="11" fillId="6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left" wrapText="1"/>
    </xf>
    <xf numFmtId="0" fontId="86" fillId="0" borderId="1" xfId="3" applyFont="1" applyFill="1" applyBorder="1" applyAlignment="1">
      <alignment horizontal="left"/>
    </xf>
    <xf numFmtId="38" fontId="31" fillId="0" borderId="1" xfId="0" applyNumberFormat="1" applyFont="1" applyBorder="1" applyAlignment="1">
      <alignment horizontal="left" wrapText="1"/>
    </xf>
    <xf numFmtId="0" fontId="43" fillId="0" borderId="1" xfId="3" applyFont="1" applyBorder="1" applyAlignment="1">
      <alignment horizontal="center" wrapText="1"/>
    </xf>
    <xf numFmtId="0" fontId="43" fillId="0" borderId="1" xfId="3" applyFont="1" applyBorder="1" applyAlignment="1">
      <alignment horizontal="center"/>
    </xf>
    <xf numFmtId="0" fontId="28" fillId="0" borderId="1" xfId="3" applyFont="1" applyFill="1" applyBorder="1" applyAlignment="1">
      <alignment horizontal="left" wrapText="1"/>
    </xf>
    <xf numFmtId="38" fontId="25" fillId="10" borderId="1" xfId="0" applyNumberFormat="1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0" fontId="86" fillId="6" borderId="1" xfId="3" applyFont="1" applyFill="1" applyBorder="1" applyAlignment="1">
      <alignment horizontal="left" wrapText="1"/>
    </xf>
    <xf numFmtId="0" fontId="42" fillId="0" borderId="1" xfId="3" applyFont="1" applyBorder="1" applyAlignment="1">
      <alignment horizontal="center"/>
    </xf>
    <xf numFmtId="38" fontId="26" fillId="0" borderId="1" xfId="0" applyNumberFormat="1" applyFont="1" applyBorder="1" applyAlignment="1">
      <alignment horizontal="left"/>
    </xf>
    <xf numFmtId="0" fontId="92" fillId="0" borderId="1" xfId="3" applyFont="1" applyFill="1" applyBorder="1" applyAlignment="1">
      <alignment horizontal="left" vertical="center" wrapText="1"/>
    </xf>
    <xf numFmtId="0" fontId="93" fillId="0" borderId="1" xfId="3" applyFont="1" applyFill="1" applyBorder="1" applyAlignment="1">
      <alignment horizontal="left" wrapText="1"/>
    </xf>
    <xf numFmtId="38" fontId="5" fillId="0" borderId="1" xfId="0" applyNumberFormat="1" applyFont="1" applyBorder="1" applyAlignment="1">
      <alignment horizontal="left" wrapText="1"/>
    </xf>
    <xf numFmtId="0" fontId="41" fillId="0" borderId="1" xfId="3" applyFont="1" applyFill="1" applyBorder="1" applyAlignment="1">
      <alignment horizontal="left" vertical="center" wrapText="1"/>
    </xf>
    <xf numFmtId="0" fontId="34" fillId="0" borderId="1" xfId="3" applyFont="1" applyFill="1" applyBorder="1" applyAlignment="1">
      <alignment horizontal="left"/>
    </xf>
  </cellXfs>
  <cellStyles count="10">
    <cellStyle name="Обычный" xfId="0" builtinId="0"/>
    <cellStyle name="Обычный 17" xfId="6"/>
    <cellStyle name="Обычный 2" xfId="3"/>
    <cellStyle name="Обычный 2 2" xfId="7"/>
    <cellStyle name="Обычный 3" xfId="8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9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&#1075;&#1072;&#1083;&#1090;&#1077;&#1088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82;&#1072;&#1088;&#1090;&#1086;&#1095;&#1082;&#1080;%202012%20&#1075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54;&#1090;&#1095;&#1077;&#1090;%20&#1079;&#1072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Общий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7">
          <cell r="D7">
            <v>1267792.5499999998</v>
          </cell>
        </row>
        <row r="65">
          <cell r="S65">
            <v>56400643.399999999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8">
          <cell r="E48">
            <v>145463.99000000002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51">
          <cell r="E51">
            <v>224318.01</v>
          </cell>
        </row>
      </sheetData>
      <sheetData sheetId="17"/>
      <sheetData sheetId="18"/>
      <sheetData sheetId="19"/>
      <sheetData sheetId="20">
        <row r="46">
          <cell r="E46">
            <v>201529.64</v>
          </cell>
        </row>
      </sheetData>
      <sheetData sheetId="21">
        <row r="48">
          <cell r="E48">
            <v>168544.12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</sheetNames>
    <sheetDataSet>
      <sheetData sheetId="0">
        <row r="8">
          <cell r="B8">
            <v>262059.28</v>
          </cell>
        </row>
      </sheetData>
      <sheetData sheetId="1">
        <row r="8">
          <cell r="B8">
            <v>258778.52999999997</v>
          </cell>
        </row>
      </sheetData>
      <sheetData sheetId="2">
        <row r="8">
          <cell r="B8">
            <v>256568.82000000004</v>
          </cell>
        </row>
      </sheetData>
      <sheetData sheetId="3">
        <row r="9">
          <cell r="D9">
            <v>2646.3954029971651</v>
          </cell>
        </row>
      </sheetData>
      <sheetData sheetId="4">
        <row r="9">
          <cell r="D9">
            <v>3391.1470230862692</v>
          </cell>
        </row>
        <row r="45">
          <cell r="B45">
            <v>-5902.0521992709546</v>
          </cell>
        </row>
      </sheetData>
      <sheetData sheetId="5">
        <row r="9">
          <cell r="D9">
            <v>3453.908869987848</v>
          </cell>
        </row>
      </sheetData>
      <sheetData sheetId="6">
        <row r="9">
          <cell r="D9">
            <v>3381.5938639125156</v>
          </cell>
        </row>
      </sheetData>
      <sheetData sheetId="7">
        <row r="9">
          <cell r="D9">
            <v>4099.199605855857</v>
          </cell>
        </row>
      </sheetData>
      <sheetData sheetId="8">
        <row r="9">
          <cell r="D9">
            <v>4130.3661169214274</v>
          </cell>
        </row>
      </sheetData>
      <sheetData sheetId="9">
        <row r="9">
          <cell r="D9">
            <v>3976.8354448198202</v>
          </cell>
        </row>
      </sheetData>
      <sheetData sheetId="10">
        <row r="9">
          <cell r="D9">
            <v>4137.6038851351341</v>
          </cell>
        </row>
      </sheetData>
      <sheetData sheetId="11">
        <row r="9">
          <cell r="D9">
            <v>4121.7791385135133</v>
          </cell>
        </row>
      </sheetData>
      <sheetData sheetId="12">
        <row r="9">
          <cell r="D9">
            <v>4098.5967807660954</v>
          </cell>
        </row>
      </sheetData>
      <sheetData sheetId="13">
        <row r="9">
          <cell r="D9">
            <v>4054.8841497747762</v>
          </cell>
        </row>
      </sheetData>
      <sheetData sheetId="14">
        <row r="9">
          <cell r="D9">
            <v>4143.7192426801812</v>
          </cell>
        </row>
      </sheetData>
      <sheetData sheetId="15">
        <row r="8">
          <cell r="D8">
            <v>4134.6959459459458</v>
          </cell>
        </row>
      </sheetData>
      <sheetData sheetId="16">
        <row r="9">
          <cell r="D9">
            <v>4093.8024314045092</v>
          </cell>
        </row>
        <row r="45">
          <cell r="B45">
            <v>12225.850000000002</v>
          </cell>
        </row>
      </sheetData>
      <sheetData sheetId="17">
        <row r="9">
          <cell r="D9">
            <v>4115.089309970117</v>
          </cell>
        </row>
        <row r="45">
          <cell r="B45">
            <v>15560.960000000001</v>
          </cell>
        </row>
      </sheetData>
      <sheetData sheetId="18">
        <row r="9">
          <cell r="D9">
            <v>2782.9876468205753</v>
          </cell>
        </row>
      </sheetData>
      <sheetData sheetId="19">
        <row r="9">
          <cell r="D9">
            <v>3402.5613608748486</v>
          </cell>
        </row>
      </sheetData>
      <sheetData sheetId="20">
        <row r="9">
          <cell r="D9">
            <v>3382.8163632916189</v>
          </cell>
        </row>
      </sheetData>
      <sheetData sheetId="21">
        <row r="9">
          <cell r="D9">
            <v>2222.0559487698015</v>
          </cell>
        </row>
      </sheetData>
      <sheetData sheetId="22">
        <row r="9">
          <cell r="D9">
            <v>663.63960784313724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46" t="s">
        <v>60</v>
      </c>
      <c r="B1" s="446"/>
      <c r="C1" s="446"/>
      <c r="D1" s="446"/>
      <c r="E1" s="446"/>
    </row>
    <row r="2" spans="1:5" ht="15">
      <c r="A2" s="1"/>
      <c r="B2" s="1"/>
      <c r="C2" s="1"/>
      <c r="D2" s="1"/>
      <c r="E2" s="2"/>
    </row>
    <row r="3" spans="1:5" ht="24" hidden="1" customHeight="1">
      <c r="A3" s="445" t="s">
        <v>0</v>
      </c>
      <c r="B3" s="445"/>
      <c r="C3" s="445"/>
      <c r="D3" s="445"/>
      <c r="E3" s="445"/>
    </row>
    <row r="4" spans="1:5" ht="15" hidden="1" customHeight="1">
      <c r="A4" s="447" t="s">
        <v>1</v>
      </c>
      <c r="B4" s="447"/>
      <c r="C4" s="447"/>
      <c r="D4" s="4"/>
      <c r="E4" s="5"/>
    </row>
    <row r="5" spans="1:5" ht="12.75" customHeight="1">
      <c r="A5" s="447" t="s">
        <v>2</v>
      </c>
      <c r="B5" s="447"/>
      <c r="C5" s="6">
        <f>C6+C7</f>
        <v>1</v>
      </c>
      <c r="D5" s="7"/>
      <c r="E5" s="8"/>
    </row>
    <row r="6" spans="1:5">
      <c r="A6" s="445" t="s">
        <v>3</v>
      </c>
      <c r="B6" s="445"/>
      <c r="C6" s="9">
        <v>1</v>
      </c>
      <c r="D6" s="7"/>
      <c r="E6" s="8"/>
    </row>
    <row r="7" spans="1:5">
      <c r="A7" s="445" t="s">
        <v>4</v>
      </c>
      <c r="B7" s="445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48" t="s">
        <v>5</v>
      </c>
      <c r="B9" s="455"/>
      <c r="C9" s="456"/>
      <c r="D9" s="460" t="s">
        <v>6</v>
      </c>
      <c r="E9" s="462">
        <f>E14+E18</f>
        <v>104.03999999999999</v>
      </c>
    </row>
    <row r="10" spans="1:5">
      <c r="A10" s="457"/>
      <c r="B10" s="458"/>
      <c r="C10" s="459"/>
      <c r="D10" s="461"/>
      <c r="E10" s="462"/>
    </row>
    <row r="11" spans="1:5">
      <c r="A11" s="463" t="s">
        <v>7</v>
      </c>
      <c r="B11" s="463"/>
      <c r="C11" s="463"/>
      <c r="D11" s="463"/>
      <c r="E11" s="463"/>
    </row>
    <row r="12" spans="1:5" ht="22.5" customHeight="1">
      <c r="A12" s="464" t="s">
        <v>8</v>
      </c>
      <c r="B12" s="464"/>
      <c r="C12" s="464"/>
      <c r="D12" s="11"/>
      <c r="E12" s="12">
        <f>C6*D24*12</f>
        <v>104.03999999999999</v>
      </c>
    </row>
    <row r="13" spans="1:5" ht="24.75" customHeight="1">
      <c r="A13" s="465" t="s">
        <v>9</v>
      </c>
      <c r="B13" s="466"/>
      <c r="C13" s="466"/>
      <c r="D13" s="13"/>
      <c r="E13" s="12">
        <v>0</v>
      </c>
    </row>
    <row r="14" spans="1:5" ht="12.75" customHeight="1">
      <c r="A14" s="467" t="s">
        <v>10</v>
      </c>
      <c r="B14" s="467"/>
      <c r="C14" s="467"/>
      <c r="D14" s="14"/>
      <c r="E14" s="15">
        <f>E12+E13</f>
        <v>104.03999999999999</v>
      </c>
    </row>
    <row r="15" spans="1:5">
      <c r="A15" s="463" t="s">
        <v>11</v>
      </c>
      <c r="B15" s="463"/>
      <c r="C15" s="463"/>
      <c r="D15" s="463"/>
      <c r="E15" s="463"/>
    </row>
    <row r="16" spans="1:5" ht="25.5" customHeight="1">
      <c r="A16" s="464" t="s">
        <v>12</v>
      </c>
      <c r="B16" s="464"/>
      <c r="C16" s="464"/>
      <c r="D16" s="11"/>
      <c r="E16" s="16">
        <f>C6*D43*12</f>
        <v>0</v>
      </c>
    </row>
    <row r="17" spans="1:5" ht="26.25" customHeight="1">
      <c r="A17" s="465" t="s">
        <v>13</v>
      </c>
      <c r="B17" s="466"/>
      <c r="C17" s="466"/>
      <c r="D17" s="13"/>
      <c r="E17" s="16">
        <v>0</v>
      </c>
    </row>
    <row r="18" spans="1:5" ht="12.75" customHeight="1">
      <c r="A18" s="467" t="s">
        <v>14</v>
      </c>
      <c r="B18" s="467"/>
      <c r="C18" s="467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48" t="s">
        <v>15</v>
      </c>
      <c r="B21" s="449"/>
      <c r="C21" s="450"/>
      <c r="D21" s="23"/>
      <c r="E21" s="454">
        <f>E41+E46</f>
        <v>104.04</v>
      </c>
    </row>
    <row r="22" spans="1:5">
      <c r="A22" s="451"/>
      <c r="B22" s="452"/>
      <c r="C22" s="453"/>
      <c r="D22" s="24"/>
      <c r="E22" s="454"/>
    </row>
    <row r="23" spans="1:5">
      <c r="A23" s="469" t="s">
        <v>16</v>
      </c>
      <c r="B23" s="469"/>
      <c r="C23" s="469"/>
      <c r="D23" s="469"/>
      <c r="E23" s="469"/>
    </row>
    <row r="24" spans="1:5" ht="24.75" customHeight="1">
      <c r="A24" s="470" t="s">
        <v>17</v>
      </c>
      <c r="B24" s="470"/>
      <c r="C24" s="470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71" t="s">
        <v>18</v>
      </c>
      <c r="B25" s="472"/>
      <c r="C25" s="473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71" t="s">
        <v>19</v>
      </c>
      <c r="B26" s="472"/>
      <c r="C26" s="473"/>
      <c r="D26" s="26">
        <v>0.73</v>
      </c>
      <c r="E26" s="16">
        <f t="shared" si="0"/>
        <v>8.76</v>
      </c>
    </row>
    <row r="27" spans="1:5" s="27" customFormat="1">
      <c r="A27" s="471" t="s">
        <v>20</v>
      </c>
      <c r="B27" s="472"/>
      <c r="C27" s="473"/>
      <c r="D27" s="26">
        <v>0.1</v>
      </c>
      <c r="E27" s="16">
        <f>$C$6*D27*12</f>
        <v>1.2000000000000002</v>
      </c>
    </row>
    <row r="28" spans="1:5" s="27" customFormat="1">
      <c r="A28" s="471" t="s">
        <v>21</v>
      </c>
      <c r="B28" s="472"/>
      <c r="C28" s="473"/>
      <c r="D28" s="26">
        <v>0.08</v>
      </c>
      <c r="E28" s="16">
        <f>$C$5*D28*12</f>
        <v>0.96</v>
      </c>
    </row>
    <row r="29" spans="1:5" s="27" customFormat="1">
      <c r="A29" s="471" t="s">
        <v>22</v>
      </c>
      <c r="B29" s="472"/>
      <c r="C29" s="473"/>
      <c r="D29" s="28">
        <v>0.71</v>
      </c>
      <c r="E29" s="16">
        <f>$C$6*D29*12</f>
        <v>8.52</v>
      </c>
    </row>
    <row r="30" spans="1:5" s="27" customFormat="1">
      <c r="A30" s="471" t="s">
        <v>23</v>
      </c>
      <c r="B30" s="472"/>
      <c r="C30" s="473"/>
      <c r="D30" s="26">
        <v>3.77</v>
      </c>
      <c r="E30" s="16">
        <f>$C$5*D30*12-E35-E37-E39</f>
        <v>40.639200000000002</v>
      </c>
    </row>
    <row r="31" spans="1:5" s="27" customFormat="1">
      <c r="A31" s="471" t="s">
        <v>24</v>
      </c>
      <c r="B31" s="472"/>
      <c r="C31" s="473"/>
      <c r="D31" s="26">
        <v>0.32</v>
      </c>
      <c r="E31" s="16">
        <f t="shared" si="0"/>
        <v>3.84</v>
      </c>
    </row>
    <row r="32" spans="1:5" s="27" customFormat="1" ht="29.25" customHeight="1">
      <c r="A32" s="470" t="s">
        <v>25</v>
      </c>
      <c r="B32" s="470"/>
      <c r="C32" s="470"/>
      <c r="D32" s="29"/>
      <c r="E32" s="25">
        <f>SUM(E33:E38)</f>
        <v>23.520000000000003</v>
      </c>
    </row>
    <row r="33" spans="1:5" ht="12.75" customHeight="1">
      <c r="A33" s="471" t="s">
        <v>26</v>
      </c>
      <c r="B33" s="472"/>
      <c r="C33" s="473"/>
      <c r="D33" s="30">
        <v>0</v>
      </c>
      <c r="E33" s="16">
        <f>$C$5*D33*12</f>
        <v>0</v>
      </c>
    </row>
    <row r="34" spans="1:5" ht="24" customHeight="1">
      <c r="A34" s="468" t="s">
        <v>27</v>
      </c>
      <c r="B34" s="468"/>
      <c r="C34" s="468"/>
      <c r="D34" s="31">
        <v>0.24</v>
      </c>
      <c r="E34" s="16">
        <f>$C$6*D34*12</f>
        <v>2.88</v>
      </c>
    </row>
    <row r="35" spans="1:5" ht="12.75" customHeight="1">
      <c r="A35" s="471" t="s">
        <v>28</v>
      </c>
      <c r="B35" s="472"/>
      <c r="C35" s="473"/>
      <c r="D35" s="26">
        <v>0.13</v>
      </c>
      <c r="E35" s="16">
        <f>$C$5*D35*12</f>
        <v>1.56</v>
      </c>
    </row>
    <row r="36" spans="1:5" ht="23.25" customHeight="1">
      <c r="A36" s="475" t="s">
        <v>29</v>
      </c>
      <c r="B36" s="475"/>
      <c r="C36" s="475"/>
      <c r="D36" s="16">
        <v>0.41</v>
      </c>
      <c r="E36" s="16">
        <f>$C$5*D36*12</f>
        <v>4.92</v>
      </c>
    </row>
    <row r="37" spans="1:5" ht="27.75" customHeight="1">
      <c r="A37" s="475" t="s">
        <v>30</v>
      </c>
      <c r="B37" s="475"/>
      <c r="C37" s="475"/>
      <c r="D37" s="32">
        <v>0.08</v>
      </c>
      <c r="E37" s="16">
        <f>$C$6*D37*12</f>
        <v>0.96</v>
      </c>
    </row>
    <row r="38" spans="1:5" ht="24" customHeight="1">
      <c r="A38" s="471" t="s">
        <v>31</v>
      </c>
      <c r="B38" s="472"/>
      <c r="C38" s="473"/>
      <c r="D38" s="28">
        <v>1.1000000000000001</v>
      </c>
      <c r="E38" s="16">
        <f>$C$6*D38*12</f>
        <v>13.200000000000001</v>
      </c>
    </row>
    <row r="39" spans="1:5">
      <c r="A39" s="468" t="s">
        <v>32</v>
      </c>
      <c r="B39" s="468"/>
      <c r="C39" s="468"/>
      <c r="D39" s="33">
        <v>0.02</v>
      </c>
      <c r="E39" s="16">
        <f>(E12)*0.02</f>
        <v>2.0808</v>
      </c>
    </row>
    <row r="40" spans="1:5">
      <c r="A40" s="468" t="s">
        <v>33</v>
      </c>
      <c r="B40" s="468"/>
      <c r="C40" s="468"/>
      <c r="D40" s="30">
        <v>0.93</v>
      </c>
      <c r="E40" s="16">
        <f>D40*12*C5</f>
        <v>11.16</v>
      </c>
    </row>
    <row r="41" spans="1:5">
      <c r="A41" s="474" t="s">
        <v>34</v>
      </c>
      <c r="B41" s="474"/>
      <c r="C41" s="474"/>
      <c r="D41" s="34"/>
      <c r="E41" s="35">
        <f>E24+E32+E39+E40</f>
        <v>104.04</v>
      </c>
    </row>
    <row r="42" spans="1:5">
      <c r="A42" s="469" t="s">
        <v>35</v>
      </c>
      <c r="B42" s="469"/>
      <c r="C42" s="469"/>
      <c r="D42" s="469"/>
      <c r="E42" s="469"/>
    </row>
    <row r="43" spans="1:5" ht="22.5" customHeight="1">
      <c r="A43" s="475" t="s">
        <v>36</v>
      </c>
      <c r="B43" s="475"/>
      <c r="C43" s="475"/>
      <c r="D43" s="36">
        <v>0</v>
      </c>
      <c r="E43" s="16">
        <v>0</v>
      </c>
    </row>
    <row r="44" spans="1:5">
      <c r="A44" s="468" t="s">
        <v>32</v>
      </c>
      <c r="B44" s="468"/>
      <c r="C44" s="468"/>
      <c r="D44" s="37"/>
      <c r="E44" s="16">
        <f>(E16)*0.02</f>
        <v>0</v>
      </c>
    </row>
    <row r="45" spans="1:5">
      <c r="A45" s="468" t="s">
        <v>37</v>
      </c>
      <c r="B45" s="468"/>
      <c r="C45" s="468"/>
      <c r="D45" s="37"/>
      <c r="E45" s="16">
        <f>(E18)*0.12</f>
        <v>0</v>
      </c>
    </row>
    <row r="46" spans="1:5">
      <c r="A46" s="474" t="s">
        <v>38</v>
      </c>
      <c r="B46" s="474"/>
      <c r="C46" s="474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76" t="s">
        <v>39</v>
      </c>
      <c r="B51" s="477"/>
      <c r="C51" s="478"/>
      <c r="D51" s="43"/>
      <c r="E51" s="44">
        <f>E9-E21</f>
        <v>0</v>
      </c>
    </row>
    <row r="52" spans="1:6" ht="12.75" customHeight="1">
      <c r="A52" s="479" t="s">
        <v>40</v>
      </c>
      <c r="B52" s="480"/>
      <c r="C52" s="481"/>
      <c r="D52" s="45"/>
      <c r="E52" s="46">
        <f>E14-E41</f>
        <v>0</v>
      </c>
    </row>
    <row r="53" spans="1:6" ht="12.75" customHeight="1">
      <c r="A53" s="479" t="s">
        <v>41</v>
      </c>
      <c r="B53" s="480"/>
      <c r="C53" s="481"/>
      <c r="D53" s="45"/>
      <c r="E53" s="47">
        <f>E18-E46</f>
        <v>0</v>
      </c>
    </row>
    <row r="54" spans="1:6">
      <c r="A54" s="479" t="s">
        <v>42</v>
      </c>
      <c r="B54" s="480"/>
      <c r="C54" s="481"/>
      <c r="D54" s="45"/>
      <c r="E54" s="46">
        <v>0</v>
      </c>
    </row>
    <row r="55" spans="1:6" ht="14.25" customHeight="1">
      <c r="A55" s="479" t="s">
        <v>43</v>
      </c>
      <c r="B55" s="480"/>
      <c r="C55" s="481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82" t="s">
        <v>44</v>
      </c>
      <c r="B58" s="483"/>
      <c r="C58" s="484"/>
      <c r="D58" s="52"/>
      <c r="E58" s="488">
        <f>E63+E67</f>
        <v>0</v>
      </c>
    </row>
    <row r="59" spans="1:6">
      <c r="A59" s="485"/>
      <c r="B59" s="486"/>
      <c r="C59" s="487"/>
      <c r="D59" s="53"/>
      <c r="E59" s="489"/>
    </row>
    <row r="60" spans="1:6">
      <c r="A60" s="469" t="s">
        <v>16</v>
      </c>
      <c r="B60" s="469"/>
      <c r="C60" s="469"/>
      <c r="D60" s="469"/>
      <c r="E60" s="469"/>
    </row>
    <row r="61" spans="1:6" ht="27.75" customHeight="1">
      <c r="A61" s="490" t="s">
        <v>45</v>
      </c>
      <c r="B61" s="490"/>
      <c r="C61" s="490"/>
      <c r="D61" s="11"/>
      <c r="E61" s="12">
        <v>0</v>
      </c>
    </row>
    <row r="62" spans="1:6" ht="26.25" customHeight="1">
      <c r="A62" s="465" t="s">
        <v>46</v>
      </c>
      <c r="B62" s="466"/>
      <c r="C62" s="466"/>
      <c r="D62" s="13"/>
      <c r="E62" s="12">
        <v>0</v>
      </c>
    </row>
    <row r="63" spans="1:6" ht="12.75" customHeight="1">
      <c r="A63" s="467" t="s">
        <v>47</v>
      </c>
      <c r="B63" s="467"/>
      <c r="C63" s="467"/>
      <c r="D63" s="14"/>
      <c r="E63" s="15">
        <f>E61+E62</f>
        <v>0</v>
      </c>
    </row>
    <row r="64" spans="1:6">
      <c r="A64" s="469" t="s">
        <v>35</v>
      </c>
      <c r="B64" s="469"/>
      <c r="C64" s="469"/>
      <c r="D64" s="469"/>
      <c r="E64" s="469"/>
    </row>
    <row r="65" spans="1:5" ht="30" customHeight="1">
      <c r="A65" s="464" t="s">
        <v>48</v>
      </c>
      <c r="B65" s="464"/>
      <c r="C65" s="464"/>
      <c r="D65" s="11"/>
      <c r="E65" s="12">
        <v>0</v>
      </c>
    </row>
    <row r="66" spans="1:5" ht="24" customHeight="1">
      <c r="A66" s="492" t="s">
        <v>49</v>
      </c>
      <c r="B66" s="492"/>
      <c r="C66" s="492"/>
      <c r="D66" s="54"/>
      <c r="E66" s="12">
        <v>0</v>
      </c>
    </row>
    <row r="67" spans="1:5" ht="12.75" customHeight="1">
      <c r="A67" s="467" t="s">
        <v>50</v>
      </c>
      <c r="B67" s="467"/>
      <c r="C67" s="467"/>
      <c r="D67" s="14"/>
      <c r="E67" s="15">
        <f>E65+E66</f>
        <v>0</v>
      </c>
    </row>
    <row r="68" spans="1:5">
      <c r="A68" s="474" t="s">
        <v>51</v>
      </c>
      <c r="B68" s="474"/>
      <c r="C68" s="474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93" t="s">
        <v>52</v>
      </c>
      <c r="B71" s="493"/>
      <c r="C71" s="493"/>
      <c r="D71" s="59"/>
      <c r="E71" s="25">
        <f>(E12+E13+E16+E17)-(E61+E62+E65+E66)</f>
        <v>104.03999999999999</v>
      </c>
    </row>
    <row r="72" spans="1:5">
      <c r="A72" s="468" t="s">
        <v>53</v>
      </c>
      <c r="B72" s="468"/>
      <c r="C72" s="468"/>
      <c r="D72" s="37"/>
      <c r="E72" s="30">
        <f>(E12+E13)-(E61+E62)</f>
        <v>104.03999999999999</v>
      </c>
    </row>
    <row r="73" spans="1:5">
      <c r="A73" s="468" t="s">
        <v>54</v>
      </c>
      <c r="B73" s="468"/>
      <c r="C73" s="468"/>
      <c r="D73" s="37"/>
      <c r="E73" s="30">
        <f>(E16+E17)-(E65+E66)</f>
        <v>0</v>
      </c>
    </row>
    <row r="74" spans="1:5">
      <c r="A74" s="491" t="s">
        <v>55</v>
      </c>
      <c r="B74" s="491"/>
      <c r="C74" s="491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46" t="s">
        <v>81</v>
      </c>
      <c r="B1" s="446"/>
      <c r="C1" s="446"/>
      <c r="D1" s="446"/>
      <c r="E1" s="446"/>
    </row>
    <row r="2" spans="1:5" ht="15">
      <c r="A2" s="1"/>
      <c r="B2" s="1"/>
      <c r="C2" s="1"/>
      <c r="D2" s="1"/>
      <c r="E2" s="86"/>
    </row>
    <row r="3" spans="1:5" s="93" customFormat="1">
      <c r="A3" s="523" t="s">
        <v>82</v>
      </c>
      <c r="B3" s="524"/>
      <c r="C3" s="525"/>
      <c r="D3" s="91"/>
      <c r="E3" s="92">
        <v>0</v>
      </c>
    </row>
    <row r="4" spans="1:5" s="96" customFormat="1" ht="12.75" customHeight="1">
      <c r="A4" s="526" t="s">
        <v>71</v>
      </c>
      <c r="B4" s="527"/>
      <c r="C4" s="528"/>
      <c r="D4" s="94"/>
      <c r="E4" s="95">
        <v>0</v>
      </c>
    </row>
    <row r="5" spans="1:5" s="99" customFormat="1" ht="12.75" customHeight="1">
      <c r="A5" s="529" t="s">
        <v>70</v>
      </c>
      <c r="B5" s="530"/>
      <c r="C5" s="531"/>
      <c r="D5" s="97"/>
      <c r="E5" s="98">
        <v>0</v>
      </c>
    </row>
    <row r="6" spans="1:5" s="93" customFormat="1" ht="12.75" customHeight="1">
      <c r="A6" s="523" t="s">
        <v>83</v>
      </c>
      <c r="B6" s="524"/>
      <c r="C6" s="525"/>
      <c r="D6" s="91"/>
      <c r="E6" s="92">
        <v>0</v>
      </c>
    </row>
    <row r="7" spans="1:5" ht="12.75" customHeight="1">
      <c r="A7" s="511" t="s">
        <v>73</v>
      </c>
      <c r="B7" s="512"/>
      <c r="C7" s="513"/>
      <c r="D7" s="73"/>
      <c r="E7" s="95">
        <v>0</v>
      </c>
    </row>
    <row r="8" spans="1:5" s="99" customFormat="1" ht="12.75" customHeight="1">
      <c r="A8" s="514" t="s">
        <v>72</v>
      </c>
      <c r="B8" s="515"/>
      <c r="C8" s="516"/>
      <c r="D8" s="97"/>
      <c r="E8" s="98">
        <v>0</v>
      </c>
    </row>
    <row r="9" spans="1:5" s="93" customFormat="1" ht="14.25" customHeight="1">
      <c r="A9" s="517" t="s">
        <v>84</v>
      </c>
      <c r="B9" s="518"/>
      <c r="C9" s="518"/>
      <c r="D9" s="518"/>
      <c r="E9" s="519"/>
    </row>
    <row r="10" spans="1:5" s="93" customFormat="1" ht="12.75" customHeight="1">
      <c r="A10" s="520" t="s">
        <v>85</v>
      </c>
      <c r="B10" s="521"/>
      <c r="C10" s="522"/>
      <c r="D10" s="100"/>
      <c r="E10" s="101">
        <f>1350*12</f>
        <v>16200</v>
      </c>
    </row>
    <row r="11" spans="1:5" s="93" customFormat="1" ht="12.75" customHeight="1">
      <c r="A11" s="520" t="s">
        <v>86</v>
      </c>
      <c r="B11" s="521"/>
      <c r="C11" s="522"/>
      <c r="D11" s="100"/>
      <c r="E11" s="101">
        <f>50*12</f>
        <v>600</v>
      </c>
    </row>
    <row r="12" spans="1:5" s="93" customFormat="1" ht="12.75" customHeight="1">
      <c r="A12" s="506" t="s">
        <v>37</v>
      </c>
      <c r="B12" s="506"/>
      <c r="C12" s="506"/>
      <c r="D12" s="102"/>
      <c r="E12" s="103">
        <f>E3*0.12</f>
        <v>0</v>
      </c>
    </row>
    <row r="13" spans="1:5" s="93" customFormat="1" ht="12.75" customHeight="1">
      <c r="A13" s="506" t="s">
        <v>87</v>
      </c>
      <c r="B13" s="506"/>
      <c r="C13" s="506"/>
      <c r="D13" s="102"/>
      <c r="E13" s="103">
        <f>E3*0.02</f>
        <v>0</v>
      </c>
    </row>
    <row r="14" spans="1:5" s="93" customFormat="1" ht="12.75" customHeight="1">
      <c r="A14" s="507" t="s">
        <v>88</v>
      </c>
      <c r="B14" s="507"/>
      <c r="C14" s="507"/>
      <c r="D14" s="104"/>
      <c r="E14" s="105">
        <f>SUM(E10:E13)</f>
        <v>16800</v>
      </c>
    </row>
    <row r="15" spans="1:5" s="96" customFormat="1">
      <c r="A15" s="508" t="s">
        <v>77</v>
      </c>
      <c r="B15" s="509"/>
      <c r="C15" s="509"/>
      <c r="D15" s="509"/>
      <c r="E15" s="510"/>
    </row>
    <row r="16" spans="1:5" s="96" customFormat="1">
      <c r="A16" s="494" t="s">
        <v>37</v>
      </c>
      <c r="B16" s="494"/>
      <c r="C16" s="494"/>
      <c r="D16" s="106"/>
      <c r="E16" s="107">
        <f>E7*0.12</f>
        <v>0</v>
      </c>
    </row>
    <row r="17" spans="1:5" s="96" customFormat="1">
      <c r="A17" s="494" t="s">
        <v>75</v>
      </c>
      <c r="B17" s="494"/>
      <c r="C17" s="494"/>
      <c r="D17" s="106"/>
      <c r="E17" s="107">
        <f>E7-E7/1.18</f>
        <v>0</v>
      </c>
    </row>
    <row r="18" spans="1:5" s="96" customFormat="1">
      <c r="A18" s="495" t="s">
        <v>78</v>
      </c>
      <c r="B18" s="495"/>
      <c r="C18" s="495"/>
      <c r="D18" s="108"/>
      <c r="E18" s="109">
        <f>E16+E17</f>
        <v>0</v>
      </c>
    </row>
    <row r="19" spans="1:5" s="99" customFormat="1">
      <c r="A19" s="496" t="s">
        <v>74</v>
      </c>
      <c r="B19" s="497"/>
      <c r="C19" s="497"/>
      <c r="D19" s="497"/>
      <c r="E19" s="498"/>
    </row>
    <row r="20" spans="1:5" s="99" customFormat="1">
      <c r="A20" s="501" t="s">
        <v>37</v>
      </c>
      <c r="B20" s="501"/>
      <c r="C20" s="501"/>
      <c r="D20" s="110"/>
      <c r="E20" s="111">
        <f>E8*0.2</f>
        <v>0</v>
      </c>
    </row>
    <row r="21" spans="1:5" s="99" customFormat="1">
      <c r="A21" s="501" t="s">
        <v>75</v>
      </c>
      <c r="B21" s="501"/>
      <c r="C21" s="501"/>
      <c r="D21" s="110"/>
      <c r="E21" s="111">
        <f>E8-E8/1.18</f>
        <v>0</v>
      </c>
    </row>
    <row r="22" spans="1:5" s="99" customFormat="1">
      <c r="A22" s="502" t="s">
        <v>76</v>
      </c>
      <c r="B22" s="502"/>
      <c r="C22" s="502"/>
      <c r="D22" s="112"/>
      <c r="E22" s="113">
        <f>E20+E21</f>
        <v>0</v>
      </c>
    </row>
    <row r="23" spans="1:5" s="114" customFormat="1">
      <c r="A23" s="503" t="s">
        <v>89</v>
      </c>
      <c r="B23" s="503"/>
      <c r="C23" s="503"/>
      <c r="D23" s="91"/>
      <c r="E23" s="92">
        <f>E3-E14</f>
        <v>-16800</v>
      </c>
    </row>
    <row r="24" spans="1:5" s="116" customFormat="1">
      <c r="A24" s="504" t="s">
        <v>90</v>
      </c>
      <c r="B24" s="504"/>
      <c r="C24" s="504"/>
      <c r="D24" s="115"/>
      <c r="E24" s="95">
        <f>E7-E18</f>
        <v>0</v>
      </c>
    </row>
    <row r="25" spans="1:5" s="118" customFormat="1">
      <c r="A25" s="505" t="s">
        <v>91</v>
      </c>
      <c r="B25" s="505"/>
      <c r="C25" s="505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99" t="s">
        <v>67</v>
      </c>
      <c r="B40" s="500"/>
      <c r="C40" s="500"/>
      <c r="D40" s="500"/>
      <c r="E40" s="500"/>
      <c r="F40" s="500"/>
      <c r="G40" s="500"/>
      <c r="H40" s="500"/>
      <c r="I40" s="500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27" customWidth="1"/>
    <col min="2" max="2" width="9.140625" style="224"/>
    <col min="3" max="3" width="46.140625" style="224" customWidth="1"/>
    <col min="4" max="6" width="8" style="226" customWidth="1"/>
    <col min="7" max="7" width="12.140625" style="225" bestFit="1" customWidth="1"/>
    <col min="8" max="8" width="9.140625" style="224"/>
    <col min="9" max="9" width="10.85546875" style="224" customWidth="1"/>
    <col min="10" max="16384" width="9.140625" style="224"/>
  </cols>
  <sheetData>
    <row r="1" spans="1:7" ht="55.5" customHeight="1">
      <c r="A1" s="625" t="s">
        <v>168</v>
      </c>
      <c r="B1" s="625"/>
      <c r="C1" s="625"/>
      <c r="D1" s="625"/>
      <c r="E1" s="625"/>
      <c r="F1" s="625"/>
      <c r="G1" s="625"/>
    </row>
    <row r="2" spans="1:7">
      <c r="A2" s="626" t="s">
        <v>2</v>
      </c>
      <c r="B2" s="626"/>
      <c r="C2" s="330">
        <f>C3+C4</f>
        <v>2646.4</v>
      </c>
      <c r="D2" s="326"/>
      <c r="E2" s="326"/>
      <c r="F2" s="326"/>
    </row>
    <row r="3" spans="1:7">
      <c r="A3" s="627" t="s">
        <v>3</v>
      </c>
      <c r="B3" s="627"/>
      <c r="C3" s="329">
        <v>2646.4</v>
      </c>
      <c r="D3" s="326"/>
      <c r="E3" s="326"/>
      <c r="F3" s="326"/>
      <c r="G3" s="325"/>
    </row>
    <row r="4" spans="1:7">
      <c r="A4" s="627" t="s">
        <v>4</v>
      </c>
      <c r="B4" s="627"/>
      <c r="C4" s="329">
        <v>0</v>
      </c>
      <c r="D4" s="326"/>
      <c r="E4" s="326"/>
      <c r="F4" s="326"/>
      <c r="G4" s="325"/>
    </row>
    <row r="5" spans="1:7">
      <c r="A5" s="328"/>
      <c r="B5" s="332"/>
      <c r="C5" s="327"/>
      <c r="D5" s="326"/>
      <c r="E5" s="326"/>
      <c r="F5" s="326"/>
      <c r="G5" s="325"/>
    </row>
    <row r="6" spans="1:7">
      <c r="A6" s="587" t="s">
        <v>5</v>
      </c>
      <c r="B6" s="628"/>
      <c r="C6" s="629"/>
      <c r="D6" s="633" t="s">
        <v>6</v>
      </c>
      <c r="E6" s="333"/>
      <c r="F6" s="635" t="s">
        <v>167</v>
      </c>
      <c r="G6" s="593">
        <f>G11+G16+G17+G18+G19</f>
        <v>389655</v>
      </c>
    </row>
    <row r="7" spans="1:7">
      <c r="A7" s="630"/>
      <c r="B7" s="631"/>
      <c r="C7" s="632"/>
      <c r="D7" s="634"/>
      <c r="E7" s="334"/>
      <c r="F7" s="636"/>
      <c r="G7" s="593"/>
    </row>
    <row r="8" spans="1:7">
      <c r="A8" s="623" t="s">
        <v>166</v>
      </c>
      <c r="B8" s="623"/>
      <c r="C8" s="623"/>
      <c r="D8" s="623"/>
      <c r="E8" s="623"/>
      <c r="F8" s="623"/>
      <c r="G8" s="623"/>
    </row>
    <row r="9" spans="1:7" s="315" customFormat="1" ht="38.25" customHeight="1">
      <c r="A9" s="598" t="s">
        <v>95</v>
      </c>
      <c r="B9" s="598"/>
      <c r="C9" s="598"/>
      <c r="D9" s="317"/>
      <c r="E9" s="317"/>
      <c r="F9" s="317"/>
      <c r="G9" s="316">
        <v>261358</v>
      </c>
    </row>
    <row r="10" spans="1:7" s="312" customFormat="1" ht="27" customHeight="1">
      <c r="A10" s="610" t="s">
        <v>9</v>
      </c>
      <c r="B10" s="611"/>
      <c r="C10" s="611"/>
      <c r="D10" s="324"/>
      <c r="E10" s="324"/>
      <c r="F10" s="324"/>
      <c r="G10" s="313">
        <v>0</v>
      </c>
    </row>
    <row r="11" spans="1:7" ht="12.75" customHeight="1">
      <c r="A11" s="600" t="s">
        <v>10</v>
      </c>
      <c r="B11" s="600"/>
      <c r="C11" s="600"/>
      <c r="D11" s="247"/>
      <c r="E11" s="247"/>
      <c r="F11" s="247"/>
      <c r="G11" s="246">
        <f>G9+G10</f>
        <v>261358</v>
      </c>
    </row>
    <row r="12" spans="1:7">
      <c r="A12" s="624" t="s">
        <v>35</v>
      </c>
      <c r="B12" s="624"/>
      <c r="C12" s="624"/>
      <c r="D12" s="624"/>
      <c r="E12" s="624"/>
      <c r="F12" s="624"/>
      <c r="G12" s="624"/>
    </row>
    <row r="13" spans="1:7" s="315" customFormat="1" ht="25.5" customHeight="1">
      <c r="A13" s="598" t="s">
        <v>12</v>
      </c>
      <c r="B13" s="598"/>
      <c r="C13" s="598"/>
      <c r="D13" s="317"/>
      <c r="E13" s="317"/>
      <c r="F13" s="317"/>
      <c r="G13" s="316">
        <v>128297</v>
      </c>
    </row>
    <row r="14" spans="1:7" s="312" customFormat="1" ht="27" customHeight="1">
      <c r="A14" s="610" t="s">
        <v>13</v>
      </c>
      <c r="B14" s="611"/>
      <c r="C14" s="611"/>
      <c r="D14" s="324"/>
      <c r="E14" s="324"/>
      <c r="F14" s="324"/>
      <c r="G14" s="313">
        <v>0</v>
      </c>
    </row>
    <row r="15" spans="1:7" s="312" customFormat="1">
      <c r="A15" s="615" t="s">
        <v>165</v>
      </c>
      <c r="B15" s="616"/>
      <c r="C15" s="616"/>
      <c r="D15" s="324"/>
      <c r="E15" s="324"/>
      <c r="F15" s="324"/>
      <c r="G15" s="323">
        <v>0</v>
      </c>
    </row>
    <row r="16" spans="1:7" ht="12.75" customHeight="1">
      <c r="A16" s="600" t="s">
        <v>14</v>
      </c>
      <c r="B16" s="600"/>
      <c r="C16" s="600"/>
      <c r="D16" s="247"/>
      <c r="E16" s="247"/>
      <c r="F16" s="247"/>
      <c r="G16" s="246">
        <f>G13+G14+G15</f>
        <v>128297</v>
      </c>
    </row>
    <row r="17" spans="1:7" s="278" customFormat="1">
      <c r="A17" s="601" t="s">
        <v>82</v>
      </c>
      <c r="B17" s="602"/>
      <c r="C17" s="603"/>
      <c r="D17" s="261"/>
      <c r="E17" s="261"/>
      <c r="F17" s="261"/>
      <c r="G17" s="260">
        <v>0</v>
      </c>
    </row>
    <row r="18" spans="1:7" s="273" customFormat="1" ht="12.75" customHeight="1">
      <c r="A18" s="617" t="s">
        <v>71</v>
      </c>
      <c r="B18" s="618"/>
      <c r="C18" s="619"/>
      <c r="D18" s="322"/>
      <c r="E18" s="322"/>
      <c r="F18" s="322"/>
      <c r="G18" s="256">
        <v>0</v>
      </c>
    </row>
    <row r="19" spans="1:7" s="268" customFormat="1" ht="12.75" customHeight="1">
      <c r="A19" s="620" t="s">
        <v>70</v>
      </c>
      <c r="B19" s="621"/>
      <c r="C19" s="622"/>
      <c r="D19" s="311"/>
      <c r="E19" s="311"/>
      <c r="F19" s="311"/>
      <c r="G19" s="253">
        <v>0</v>
      </c>
    </row>
    <row r="20" spans="1:7" s="308" customFormat="1" ht="23.25" customHeight="1">
      <c r="A20" s="612" t="s">
        <v>164</v>
      </c>
      <c r="B20" s="613"/>
      <c r="C20" s="614"/>
      <c r="D20" s="321"/>
      <c r="E20" s="321"/>
      <c r="F20" s="321"/>
      <c r="G20" s="320">
        <f>SUM(G21:G25)</f>
        <v>2048433</v>
      </c>
    </row>
    <row r="21" spans="1:7" s="268" customFormat="1" ht="12.75" customHeight="1">
      <c r="A21" s="584" t="s">
        <v>105</v>
      </c>
      <c r="B21" s="585"/>
      <c r="C21" s="586"/>
      <c r="D21" s="307"/>
      <c r="E21" s="307"/>
      <c r="F21" s="307"/>
      <c r="G21" s="306">
        <v>1220706</v>
      </c>
    </row>
    <row r="22" spans="1:7" s="268" customFormat="1" ht="12.75" customHeight="1">
      <c r="A22" s="584" t="s">
        <v>106</v>
      </c>
      <c r="B22" s="585"/>
      <c r="C22" s="586"/>
      <c r="D22" s="307"/>
      <c r="E22" s="307"/>
      <c r="F22" s="307"/>
      <c r="G22" s="306">
        <v>567754</v>
      </c>
    </row>
    <row r="23" spans="1:7" s="268" customFormat="1" ht="12.75" customHeight="1">
      <c r="A23" s="584" t="s">
        <v>107</v>
      </c>
      <c r="B23" s="585"/>
      <c r="C23" s="586"/>
      <c r="D23" s="307"/>
      <c r="E23" s="307"/>
      <c r="F23" s="307"/>
      <c r="G23" s="306">
        <v>92108</v>
      </c>
    </row>
    <row r="24" spans="1:7" s="268" customFormat="1" ht="12.75" customHeight="1">
      <c r="A24" s="584" t="s">
        <v>108</v>
      </c>
      <c r="B24" s="585"/>
      <c r="C24" s="586"/>
      <c r="D24" s="307"/>
      <c r="E24" s="307"/>
      <c r="F24" s="307"/>
      <c r="G24" s="306">
        <v>167865</v>
      </c>
    </row>
    <row r="25" spans="1:7" s="268" customFormat="1" ht="12.75" customHeight="1">
      <c r="A25" s="584" t="s">
        <v>109</v>
      </c>
      <c r="B25" s="585"/>
      <c r="C25" s="586"/>
      <c r="D25" s="307"/>
      <c r="E25" s="307"/>
      <c r="F25" s="307"/>
      <c r="G25" s="306"/>
    </row>
    <row r="26" spans="1:7">
      <c r="A26" s="319"/>
    </row>
    <row r="27" spans="1:7">
      <c r="A27" s="587" t="s">
        <v>44</v>
      </c>
      <c r="B27" s="588"/>
      <c r="C27" s="589"/>
      <c r="D27" s="335"/>
      <c r="E27" s="335"/>
      <c r="F27" s="335"/>
      <c r="G27" s="607">
        <f>G32+G36+G37+G38+G39</f>
        <v>350585</v>
      </c>
    </row>
    <row r="28" spans="1:7">
      <c r="A28" s="590"/>
      <c r="B28" s="591"/>
      <c r="C28" s="592"/>
      <c r="D28" s="336"/>
      <c r="E28" s="336"/>
      <c r="F28" s="336"/>
      <c r="G28" s="608"/>
    </row>
    <row r="29" spans="1:7">
      <c r="A29" s="569" t="s">
        <v>16</v>
      </c>
      <c r="B29" s="569"/>
      <c r="C29" s="569"/>
      <c r="D29" s="569"/>
      <c r="E29" s="569"/>
      <c r="F29" s="569"/>
      <c r="G29" s="569"/>
    </row>
    <row r="30" spans="1:7" s="315" customFormat="1" ht="20.25" customHeight="1">
      <c r="A30" s="609" t="s">
        <v>45</v>
      </c>
      <c r="B30" s="609"/>
      <c r="C30" s="609"/>
      <c r="D30" s="317"/>
      <c r="E30" s="317"/>
      <c r="F30" s="317"/>
      <c r="G30" s="316">
        <v>235175</v>
      </c>
    </row>
    <row r="31" spans="1:7" ht="24.75" customHeight="1">
      <c r="A31" s="610" t="s">
        <v>46</v>
      </c>
      <c r="B31" s="611"/>
      <c r="C31" s="611"/>
      <c r="D31" s="318"/>
      <c r="E31" s="318"/>
      <c r="F31" s="318"/>
      <c r="G31" s="288">
        <f>G10</f>
        <v>0</v>
      </c>
    </row>
    <row r="32" spans="1:7" ht="12.75" customHeight="1">
      <c r="A32" s="600" t="s">
        <v>47</v>
      </c>
      <c r="B32" s="600"/>
      <c r="C32" s="600"/>
      <c r="D32" s="247"/>
      <c r="E32" s="247"/>
      <c r="F32" s="247"/>
      <c r="G32" s="246">
        <f>G30+G31</f>
        <v>235175</v>
      </c>
    </row>
    <row r="33" spans="1:7">
      <c r="A33" s="569" t="s">
        <v>35</v>
      </c>
      <c r="B33" s="569"/>
      <c r="C33" s="569"/>
      <c r="D33" s="569"/>
      <c r="E33" s="569"/>
      <c r="F33" s="569"/>
      <c r="G33" s="569"/>
    </row>
    <row r="34" spans="1:7" s="315" customFormat="1" ht="23.25" customHeight="1">
      <c r="A34" s="598" t="s">
        <v>48</v>
      </c>
      <c r="B34" s="598"/>
      <c r="C34" s="598"/>
      <c r="D34" s="317"/>
      <c r="E34" s="317"/>
      <c r="F34" s="317"/>
      <c r="G34" s="316">
        <v>115410</v>
      </c>
    </row>
    <row r="35" spans="1:7" s="312" customFormat="1">
      <c r="A35" s="599" t="s">
        <v>49</v>
      </c>
      <c r="B35" s="599"/>
      <c r="C35" s="599"/>
      <c r="D35" s="314"/>
      <c r="E35" s="314"/>
      <c r="F35" s="314"/>
      <c r="G35" s="313">
        <f>G14</f>
        <v>0</v>
      </c>
    </row>
    <row r="36" spans="1:7" ht="12.75" customHeight="1">
      <c r="A36" s="600" t="s">
        <v>50</v>
      </c>
      <c r="B36" s="600"/>
      <c r="C36" s="600"/>
      <c r="D36" s="247"/>
      <c r="E36" s="247"/>
      <c r="F36" s="247"/>
      <c r="G36" s="246">
        <f>G34+G35</f>
        <v>115410</v>
      </c>
    </row>
    <row r="37" spans="1:7" s="278" customFormat="1" ht="12.75" customHeight="1">
      <c r="A37" s="601" t="s">
        <v>83</v>
      </c>
      <c r="B37" s="602"/>
      <c r="C37" s="603"/>
      <c r="D37" s="261"/>
      <c r="E37" s="261"/>
      <c r="F37" s="261"/>
      <c r="G37" s="260">
        <v>0</v>
      </c>
    </row>
    <row r="38" spans="1:7" ht="12.75" customHeight="1">
      <c r="A38" s="604" t="s">
        <v>73</v>
      </c>
      <c r="B38" s="605"/>
      <c r="C38" s="606"/>
      <c r="D38" s="247"/>
      <c r="E38" s="247"/>
      <c r="F38" s="247"/>
      <c r="G38" s="256">
        <v>0</v>
      </c>
    </row>
    <row r="39" spans="1:7" s="268" customFormat="1" ht="12.75" customHeight="1">
      <c r="A39" s="594" t="s">
        <v>72</v>
      </c>
      <c r="B39" s="595"/>
      <c r="C39" s="596"/>
      <c r="D39" s="311"/>
      <c r="E39" s="311"/>
      <c r="F39" s="311"/>
      <c r="G39" s="253">
        <v>0</v>
      </c>
    </row>
    <row r="40" spans="1:7" s="308" customFormat="1" ht="24.75" customHeight="1">
      <c r="A40" s="597" t="s">
        <v>163</v>
      </c>
      <c r="B40" s="597"/>
      <c r="C40" s="597"/>
      <c r="D40" s="310"/>
      <c r="E40" s="310"/>
      <c r="F40" s="310"/>
      <c r="G40" s="309">
        <f>SUM(G41:G45)</f>
        <v>1645831</v>
      </c>
    </row>
    <row r="41" spans="1:7" s="268" customFormat="1" ht="12.75" customHeight="1">
      <c r="A41" s="584" t="s">
        <v>127</v>
      </c>
      <c r="B41" s="585"/>
      <c r="C41" s="586"/>
      <c r="D41" s="307"/>
      <c r="E41" s="307"/>
      <c r="F41" s="307"/>
      <c r="G41" s="306">
        <v>914441</v>
      </c>
    </row>
    <row r="42" spans="1:7" s="268" customFormat="1" ht="12.75" customHeight="1">
      <c r="A42" s="584" t="s">
        <v>128</v>
      </c>
      <c r="B42" s="585"/>
      <c r="C42" s="586"/>
      <c r="D42" s="307"/>
      <c r="E42" s="307"/>
      <c r="F42" s="307"/>
      <c r="G42" s="306">
        <v>485668</v>
      </c>
    </row>
    <row r="43" spans="1:7" s="268" customFormat="1" ht="12.75" customHeight="1">
      <c r="A43" s="584" t="s">
        <v>129</v>
      </c>
      <c r="B43" s="585"/>
      <c r="C43" s="586"/>
      <c r="D43" s="307"/>
      <c r="E43" s="307"/>
      <c r="F43" s="307"/>
      <c r="G43" s="306">
        <v>87972</v>
      </c>
    </row>
    <row r="44" spans="1:7" s="268" customFormat="1" ht="12.75" customHeight="1">
      <c r="A44" s="584" t="s">
        <v>130</v>
      </c>
      <c r="B44" s="585"/>
      <c r="C44" s="586"/>
      <c r="D44" s="307"/>
      <c r="E44" s="307"/>
      <c r="F44" s="307"/>
      <c r="G44" s="306">
        <v>157750</v>
      </c>
    </row>
    <row r="45" spans="1:7" s="268" customFormat="1" ht="12.75" customHeight="1">
      <c r="A45" s="584" t="s">
        <v>136</v>
      </c>
      <c r="B45" s="585"/>
      <c r="C45" s="586"/>
      <c r="D45" s="307"/>
      <c r="E45" s="307"/>
      <c r="F45" s="307"/>
      <c r="G45" s="306"/>
    </row>
    <row r="46" spans="1:7">
      <c r="A46" s="572" t="s">
        <v>51</v>
      </c>
      <c r="B46" s="572"/>
      <c r="C46" s="572"/>
      <c r="D46" s="287"/>
      <c r="E46" s="287"/>
      <c r="F46" s="287"/>
      <c r="G46" s="337">
        <f>(G27+G40)/(G6+G20)</f>
        <v>0.81884493094588873</v>
      </c>
    </row>
    <row r="47" spans="1:7" s="301" customFormat="1">
      <c r="A47" s="305"/>
      <c r="B47" s="304"/>
      <c r="C47" s="304"/>
      <c r="D47" s="303"/>
      <c r="E47" s="303"/>
      <c r="F47" s="303"/>
      <c r="G47" s="302"/>
    </row>
    <row r="48" spans="1:7" s="267" customFormat="1">
      <c r="A48" s="587" t="s">
        <v>15</v>
      </c>
      <c r="B48" s="588"/>
      <c r="C48" s="589"/>
      <c r="D48" s="335"/>
      <c r="E48" s="335"/>
      <c r="F48" s="335"/>
      <c r="G48" s="593">
        <f>G69+G74+G81+G85+G89</f>
        <v>631345.26440677966</v>
      </c>
    </row>
    <row r="49" spans="1:9" s="267" customFormat="1">
      <c r="A49" s="590"/>
      <c r="B49" s="591"/>
      <c r="C49" s="592"/>
      <c r="D49" s="336"/>
      <c r="E49" s="336"/>
      <c r="F49" s="336"/>
      <c r="G49" s="593"/>
    </row>
    <row r="50" spans="1:9" s="267" customFormat="1">
      <c r="A50" s="569" t="s">
        <v>16</v>
      </c>
      <c r="B50" s="569"/>
      <c r="C50" s="569"/>
      <c r="D50" s="569"/>
      <c r="E50" s="569"/>
      <c r="F50" s="569"/>
      <c r="G50" s="569"/>
    </row>
    <row r="51" spans="1:9" s="267" customFormat="1" ht="24.75" customHeight="1">
      <c r="A51" s="582" t="s">
        <v>17</v>
      </c>
      <c r="B51" s="582"/>
      <c r="C51" s="582"/>
      <c r="D51" s="300">
        <f>D52+D53+D54+D55+D56+D57+D58+D62+D68</f>
        <v>7.5823999999999998</v>
      </c>
      <c r="E51" s="300">
        <f>E52+E53+E54+E55+E56+E57+E58+E62+E68</f>
        <v>8.6475199999999983</v>
      </c>
      <c r="F51" s="300">
        <f>F52+F53+F54+F55+F56+F57+F58+F62+F68</f>
        <v>0.43</v>
      </c>
      <c r="G51" s="331"/>
      <c r="I51" s="299"/>
    </row>
    <row r="52" spans="1:9" s="292" customFormat="1">
      <c r="A52" s="576" t="s">
        <v>18</v>
      </c>
      <c r="B52" s="577"/>
      <c r="C52" s="578"/>
      <c r="D52" s="295">
        <v>0.28999999999999998</v>
      </c>
      <c r="E52" s="295">
        <f t="shared" ref="E52:E58" si="0">D52*1.15</f>
        <v>0.33349999999999996</v>
      </c>
      <c r="F52" s="295"/>
      <c r="G52" s="288">
        <v>9845</v>
      </c>
    </row>
    <row r="53" spans="1:9" s="292" customFormat="1">
      <c r="A53" s="576" t="s">
        <v>19</v>
      </c>
      <c r="B53" s="577"/>
      <c r="C53" s="578"/>
      <c r="D53" s="295">
        <v>0.78</v>
      </c>
      <c r="E53" s="295">
        <f t="shared" si="0"/>
        <v>0.89699999999999991</v>
      </c>
      <c r="F53" s="295"/>
      <c r="G53" s="288">
        <v>70182</v>
      </c>
    </row>
    <row r="54" spans="1:9" s="292" customFormat="1">
      <c r="A54" s="576" t="s">
        <v>20</v>
      </c>
      <c r="B54" s="577"/>
      <c r="C54" s="578"/>
      <c r="D54" s="295">
        <v>0</v>
      </c>
      <c r="E54" s="295">
        <f t="shared" si="0"/>
        <v>0</v>
      </c>
      <c r="F54" s="295"/>
      <c r="G54" s="291">
        <f>F54*C2*12</f>
        <v>0</v>
      </c>
    </row>
    <row r="55" spans="1:9" s="292" customFormat="1">
      <c r="A55" s="576" t="s">
        <v>21</v>
      </c>
      <c r="B55" s="577"/>
      <c r="C55" s="578"/>
      <c r="D55" s="295">
        <v>0.08</v>
      </c>
      <c r="E55" s="295">
        <f t="shared" si="0"/>
        <v>9.1999999999999998E-2</v>
      </c>
      <c r="F55" s="295"/>
      <c r="G55" s="288">
        <v>4764</v>
      </c>
    </row>
    <row r="56" spans="1:9" s="292" customFormat="1">
      <c r="A56" s="576" t="s">
        <v>22</v>
      </c>
      <c r="B56" s="577"/>
      <c r="C56" s="578"/>
      <c r="D56" s="295">
        <v>1.1399999999999999</v>
      </c>
      <c r="E56" s="295">
        <f t="shared" si="0"/>
        <v>1.3109999999999997</v>
      </c>
      <c r="F56" s="295"/>
      <c r="G56" s="288">
        <v>22230</v>
      </c>
    </row>
    <row r="57" spans="1:9" s="292" customFormat="1">
      <c r="A57" s="576" t="s">
        <v>96</v>
      </c>
      <c r="B57" s="577"/>
      <c r="C57" s="578"/>
      <c r="D57" s="295">
        <v>2.91</v>
      </c>
      <c r="E57" s="295">
        <f t="shared" si="0"/>
        <v>3.3464999999999998</v>
      </c>
      <c r="F57" s="295"/>
      <c r="G57" s="288">
        <v>50811</v>
      </c>
      <c r="I57" s="298">
        <f>(I92-G92)*-1</f>
        <v>-1</v>
      </c>
    </row>
    <row r="58" spans="1:9" s="292" customFormat="1">
      <c r="A58" s="576" t="s">
        <v>162</v>
      </c>
      <c r="B58" s="577"/>
      <c r="C58" s="578"/>
      <c r="D58" s="295">
        <v>1.1399999999999999</v>
      </c>
      <c r="E58" s="295">
        <f t="shared" si="0"/>
        <v>1.3109999999999997</v>
      </c>
      <c r="F58" s="295"/>
      <c r="G58" s="288">
        <f>F58*C2*12</f>
        <v>0</v>
      </c>
    </row>
    <row r="59" spans="1:9" s="292" customFormat="1">
      <c r="A59" s="576" t="s">
        <v>24</v>
      </c>
      <c r="B59" s="577"/>
      <c r="C59" s="578"/>
      <c r="D59" s="295"/>
      <c r="E59" s="295"/>
      <c r="F59" s="295"/>
      <c r="G59" s="288"/>
      <c r="I59" s="297" t="s">
        <v>156</v>
      </c>
    </row>
    <row r="60" spans="1:9" s="292" customFormat="1" ht="25.5" customHeight="1">
      <c r="A60" s="582" t="s">
        <v>25</v>
      </c>
      <c r="B60" s="582"/>
      <c r="C60" s="582"/>
      <c r="D60" s="296"/>
      <c r="E60" s="296"/>
      <c r="F60" s="296"/>
      <c r="G60" s="331"/>
    </row>
    <row r="61" spans="1:9" s="267" customFormat="1" ht="24.75" customHeight="1">
      <c r="A61" s="571" t="s">
        <v>27</v>
      </c>
      <c r="B61" s="571"/>
      <c r="C61" s="571"/>
      <c r="D61" s="291">
        <f>((0.24*6)+(0.25*6))/12</f>
        <v>0.245</v>
      </c>
      <c r="E61" s="295"/>
      <c r="F61" s="295">
        <f>D61</f>
        <v>0.245</v>
      </c>
      <c r="G61" s="288">
        <v>14291</v>
      </c>
    </row>
    <row r="62" spans="1:9" s="267" customFormat="1">
      <c r="A62" s="583" t="s">
        <v>161</v>
      </c>
      <c r="B62" s="583"/>
      <c r="C62" s="583"/>
      <c r="D62" s="291">
        <v>0.43</v>
      </c>
      <c r="E62" s="291">
        <v>0.43</v>
      </c>
      <c r="F62" s="291">
        <f>D62</f>
        <v>0.43</v>
      </c>
      <c r="G62" s="288">
        <v>16831</v>
      </c>
    </row>
    <row r="63" spans="1:9" s="267" customFormat="1">
      <c r="A63" s="576" t="s">
        <v>31</v>
      </c>
      <c r="B63" s="577"/>
      <c r="C63" s="578"/>
      <c r="D63" s="295">
        <f>((1.27*6)+(1.4*6))/12</f>
        <v>1.335</v>
      </c>
      <c r="E63" s="295"/>
      <c r="F63" s="295">
        <f>D63</f>
        <v>1.335</v>
      </c>
      <c r="G63" s="288">
        <v>44459</v>
      </c>
    </row>
    <row r="64" spans="1:9" s="267" customFormat="1">
      <c r="A64" s="576" t="s">
        <v>160</v>
      </c>
      <c r="B64" s="577"/>
      <c r="C64" s="578"/>
      <c r="D64" s="294">
        <v>0.27</v>
      </c>
      <c r="E64" s="294"/>
      <c r="F64" s="294"/>
      <c r="G64" s="288">
        <f>F64*C2*12</f>
        <v>0</v>
      </c>
    </row>
    <row r="65" spans="1:9" s="292" customFormat="1" ht="48.75" customHeight="1">
      <c r="A65" s="579" t="s">
        <v>159</v>
      </c>
      <c r="B65" s="580"/>
      <c r="C65" s="581"/>
      <c r="D65" s="293">
        <v>0.21</v>
      </c>
      <c r="E65" s="293"/>
      <c r="F65" s="293"/>
      <c r="G65" s="288">
        <f>F65*C2*12</f>
        <v>0</v>
      </c>
    </row>
    <row r="66" spans="1:9" s="267" customFormat="1">
      <c r="A66" s="572" t="s">
        <v>101</v>
      </c>
      <c r="B66" s="572"/>
      <c r="C66" s="572"/>
      <c r="D66" s="287"/>
      <c r="E66" s="287"/>
      <c r="F66" s="287"/>
      <c r="G66" s="290">
        <f>SUM(G52:G65)</f>
        <v>233413</v>
      </c>
    </row>
    <row r="67" spans="1:9" s="267" customFormat="1">
      <c r="A67" s="571" t="s">
        <v>32</v>
      </c>
      <c r="B67" s="571"/>
      <c r="C67" s="571"/>
      <c r="D67" s="291"/>
      <c r="E67" s="291"/>
      <c r="F67" s="291"/>
      <c r="G67" s="288">
        <v>4764</v>
      </c>
    </row>
    <row r="68" spans="1:9" s="267" customFormat="1">
      <c r="A68" s="571" t="s">
        <v>33</v>
      </c>
      <c r="B68" s="571"/>
      <c r="C68" s="571"/>
      <c r="D68" s="291">
        <f>(D52+D53+D54+D55+D56+D57+D58+D62)*0.12</f>
        <v>0.8123999999999999</v>
      </c>
      <c r="E68" s="291">
        <f>(E52+E53+E54+E55+E56+E57+E58+E62)*0.12</f>
        <v>0.9265199999999999</v>
      </c>
      <c r="F68" s="291"/>
      <c r="G68" s="288">
        <v>23182</v>
      </c>
    </row>
    <row r="69" spans="1:9" s="240" customFormat="1">
      <c r="A69" s="572" t="s">
        <v>102</v>
      </c>
      <c r="B69" s="572"/>
      <c r="C69" s="572"/>
      <c r="D69" s="287"/>
      <c r="E69" s="287"/>
      <c r="F69" s="287"/>
      <c r="G69" s="290">
        <f>G66+G67+G68</f>
        <v>261359</v>
      </c>
    </row>
    <row r="70" spans="1:9">
      <c r="A70" s="569" t="s">
        <v>35</v>
      </c>
      <c r="B70" s="569"/>
      <c r="C70" s="569"/>
      <c r="D70" s="569"/>
      <c r="E70" s="569"/>
      <c r="F70" s="569"/>
      <c r="G70" s="569"/>
    </row>
    <row r="71" spans="1:9" ht="14.25" customHeight="1">
      <c r="A71" s="570" t="s">
        <v>158</v>
      </c>
      <c r="B71" s="570"/>
      <c r="C71" s="570"/>
      <c r="D71" s="289">
        <v>4.03</v>
      </c>
      <c r="E71" s="289">
        <v>4.6399999999999997</v>
      </c>
      <c r="F71" s="289"/>
      <c r="G71" s="288">
        <v>298301</v>
      </c>
    </row>
    <row r="72" spans="1:9">
      <c r="A72" s="571" t="s">
        <v>32</v>
      </c>
      <c r="B72" s="571"/>
      <c r="C72" s="571"/>
      <c r="D72" s="289"/>
      <c r="E72" s="289"/>
      <c r="F72" s="289"/>
      <c r="G72" s="288">
        <v>2223</v>
      </c>
    </row>
    <row r="73" spans="1:9">
      <c r="A73" s="571" t="s">
        <v>33</v>
      </c>
      <c r="B73" s="571"/>
      <c r="C73" s="571"/>
      <c r="D73" s="289"/>
      <c r="E73" s="289"/>
      <c r="F73" s="289"/>
      <c r="G73" s="288">
        <v>11432</v>
      </c>
    </row>
    <row r="74" spans="1:9">
      <c r="A74" s="572" t="s">
        <v>38</v>
      </c>
      <c r="B74" s="572"/>
      <c r="C74" s="572"/>
      <c r="D74" s="287"/>
      <c r="E74" s="287"/>
      <c r="F74" s="287"/>
      <c r="G74" s="331">
        <f>SUM(G71:G73)</f>
        <v>311956</v>
      </c>
    </row>
    <row r="75" spans="1:9" s="278" customFormat="1" ht="14.25" customHeight="1">
      <c r="A75" s="573" t="s">
        <v>84</v>
      </c>
      <c r="B75" s="574"/>
      <c r="C75" s="574"/>
      <c r="D75" s="574"/>
      <c r="E75" s="574"/>
      <c r="F75" s="574"/>
      <c r="G75" s="575"/>
    </row>
    <row r="76" spans="1:9" s="278" customFormat="1" ht="51" customHeight="1">
      <c r="A76" s="561" t="s">
        <v>157</v>
      </c>
      <c r="B76" s="562"/>
      <c r="C76" s="563"/>
      <c r="D76" s="285"/>
      <c r="E76" s="285"/>
      <c r="F76" s="285"/>
      <c r="G76" s="286">
        <v>54000</v>
      </c>
    </row>
    <row r="77" spans="1:9" s="278" customFormat="1" ht="12.75" customHeight="1">
      <c r="A77" s="564" t="s">
        <v>103</v>
      </c>
      <c r="B77" s="565"/>
      <c r="C77" s="566"/>
      <c r="D77" s="285"/>
      <c r="E77" s="285"/>
      <c r="F77" s="285"/>
      <c r="G77" s="284">
        <v>0</v>
      </c>
    </row>
    <row r="78" spans="1:9" s="278" customFormat="1" ht="12.75" customHeight="1">
      <c r="A78" s="561" t="s">
        <v>137</v>
      </c>
      <c r="B78" s="562"/>
      <c r="C78" s="563"/>
      <c r="D78" s="285"/>
      <c r="E78" s="285"/>
      <c r="F78" s="285"/>
      <c r="G78" s="284">
        <v>0</v>
      </c>
      <c r="I78" s="278" t="s">
        <v>156</v>
      </c>
    </row>
    <row r="79" spans="1:9" s="278" customFormat="1" ht="12.75" customHeight="1">
      <c r="A79" s="567" t="s">
        <v>37</v>
      </c>
      <c r="B79" s="567"/>
      <c r="C79" s="567"/>
      <c r="D79" s="282"/>
      <c r="E79" s="282"/>
      <c r="F79" s="282"/>
      <c r="G79" s="283">
        <f>G17*0.12</f>
        <v>0</v>
      </c>
    </row>
    <row r="80" spans="1:9" s="278" customFormat="1" ht="12.75" customHeight="1">
      <c r="A80" s="567" t="s">
        <v>87</v>
      </c>
      <c r="B80" s="567"/>
      <c r="C80" s="567"/>
      <c r="D80" s="282"/>
      <c r="E80" s="282"/>
      <c r="F80" s="282"/>
      <c r="G80" s="281">
        <f>G17*0.02</f>
        <v>0</v>
      </c>
    </row>
    <row r="81" spans="1:10" s="278" customFormat="1" ht="12.75" customHeight="1">
      <c r="A81" s="568" t="s">
        <v>88</v>
      </c>
      <c r="B81" s="568"/>
      <c r="C81" s="568"/>
      <c r="D81" s="280"/>
      <c r="E81" s="280"/>
      <c r="F81" s="280"/>
      <c r="G81" s="279">
        <f>SUM(G76:G80)</f>
        <v>54000</v>
      </c>
    </row>
    <row r="82" spans="1:10" s="273" customFormat="1">
      <c r="A82" s="553" t="s">
        <v>77</v>
      </c>
      <c r="B82" s="554"/>
      <c r="C82" s="554"/>
      <c r="D82" s="554"/>
      <c r="E82" s="554"/>
      <c r="F82" s="554"/>
      <c r="G82" s="555"/>
    </row>
    <row r="83" spans="1:10" s="273" customFormat="1">
      <c r="A83" s="556" t="s">
        <v>37</v>
      </c>
      <c r="B83" s="556"/>
      <c r="C83" s="556"/>
      <c r="D83" s="277"/>
      <c r="E83" s="277"/>
      <c r="F83" s="277"/>
      <c r="G83" s="276">
        <f>G18*0.12</f>
        <v>0</v>
      </c>
    </row>
    <row r="84" spans="1:10" s="273" customFormat="1">
      <c r="A84" s="556" t="s">
        <v>75</v>
      </c>
      <c r="B84" s="556"/>
      <c r="C84" s="556"/>
      <c r="D84" s="277"/>
      <c r="E84" s="277"/>
      <c r="F84" s="277"/>
      <c r="G84" s="276">
        <f>G18-G18/1.18</f>
        <v>0</v>
      </c>
    </row>
    <row r="85" spans="1:10" s="273" customFormat="1">
      <c r="A85" s="557" t="s">
        <v>78</v>
      </c>
      <c r="B85" s="557"/>
      <c r="C85" s="557"/>
      <c r="D85" s="275"/>
      <c r="E85" s="275"/>
      <c r="F85" s="275"/>
      <c r="G85" s="274">
        <f>G83+G84</f>
        <v>0</v>
      </c>
    </row>
    <row r="86" spans="1:10" s="268" customFormat="1">
      <c r="A86" s="558" t="s">
        <v>74</v>
      </c>
      <c r="B86" s="559"/>
      <c r="C86" s="559"/>
      <c r="D86" s="559"/>
      <c r="E86" s="559"/>
      <c r="F86" s="559"/>
      <c r="G86" s="560"/>
    </row>
    <row r="87" spans="1:10" s="268" customFormat="1">
      <c r="A87" s="548" t="s">
        <v>37</v>
      </c>
      <c r="B87" s="548"/>
      <c r="C87" s="548"/>
      <c r="D87" s="272"/>
      <c r="E87" s="272"/>
      <c r="F87" s="272"/>
      <c r="G87" s="271">
        <f>G73*0.2</f>
        <v>2286.4</v>
      </c>
    </row>
    <row r="88" spans="1:10" s="268" customFormat="1">
      <c r="A88" s="548" t="s">
        <v>75</v>
      </c>
      <c r="B88" s="548"/>
      <c r="C88" s="548"/>
      <c r="D88" s="272"/>
      <c r="E88" s="272"/>
      <c r="F88" s="272"/>
      <c r="G88" s="271">
        <f>G73-G73/1.18</f>
        <v>1743.8644067796613</v>
      </c>
    </row>
    <row r="89" spans="1:10" s="268" customFormat="1">
      <c r="A89" s="549" t="s">
        <v>76</v>
      </c>
      <c r="B89" s="549"/>
      <c r="C89" s="549"/>
      <c r="D89" s="270"/>
      <c r="E89" s="270"/>
      <c r="F89" s="270"/>
      <c r="G89" s="269">
        <f>G87+G88</f>
        <v>4030.2644067796614</v>
      </c>
    </row>
    <row r="90" spans="1:10">
      <c r="B90" s="267"/>
      <c r="C90" s="267"/>
      <c r="D90" s="266"/>
      <c r="E90" s="266"/>
      <c r="F90" s="266"/>
      <c r="G90" s="265"/>
    </row>
    <row r="91" spans="1:10" ht="19.5" customHeight="1">
      <c r="A91" s="550" t="s">
        <v>155</v>
      </c>
      <c r="B91" s="551"/>
      <c r="C91" s="551"/>
      <c r="D91" s="551"/>
      <c r="E91" s="551"/>
      <c r="F91" s="551"/>
      <c r="G91" s="552"/>
    </row>
    <row r="92" spans="1:10" ht="12.75" customHeight="1">
      <c r="A92" s="542" t="s">
        <v>97</v>
      </c>
      <c r="B92" s="543"/>
      <c r="C92" s="544"/>
      <c r="D92" s="249"/>
      <c r="E92" s="249"/>
      <c r="F92" s="249"/>
      <c r="G92" s="246">
        <f>G11-G69</f>
        <v>-1</v>
      </c>
      <c r="I92" s="264">
        <f>(G65+G64)*-1</f>
        <v>0</v>
      </c>
      <c r="J92" s="263" t="s">
        <v>154</v>
      </c>
    </row>
    <row r="93" spans="1:10" ht="12.75" customHeight="1">
      <c r="A93" s="542" t="s">
        <v>98</v>
      </c>
      <c r="B93" s="543"/>
      <c r="C93" s="544"/>
      <c r="D93" s="249"/>
      <c r="E93" s="249"/>
      <c r="F93" s="249"/>
      <c r="G93" s="262">
        <f>G16-G74</f>
        <v>-183659</v>
      </c>
    </row>
    <row r="94" spans="1:10" ht="12.75" customHeight="1">
      <c r="A94" s="542" t="s">
        <v>117</v>
      </c>
      <c r="B94" s="543"/>
      <c r="C94" s="544"/>
      <c r="D94" s="249"/>
      <c r="E94" s="249"/>
      <c r="F94" s="249"/>
      <c r="G94" s="246">
        <v>35193</v>
      </c>
    </row>
    <row r="95" spans="1:10" s="258" customFormat="1" ht="25.5" customHeight="1">
      <c r="A95" s="539" t="s">
        <v>114</v>
      </c>
      <c r="B95" s="539"/>
      <c r="C95" s="539"/>
      <c r="D95" s="261"/>
      <c r="E95" s="261"/>
      <c r="F95" s="261"/>
      <c r="G95" s="260">
        <f>G17-G81</f>
        <v>-54000</v>
      </c>
      <c r="I95" s="259" t="s">
        <v>153</v>
      </c>
      <c r="J95" s="252"/>
    </row>
    <row r="96" spans="1:10" s="255" customFormat="1" ht="12.75" customHeight="1">
      <c r="A96" s="540" t="s">
        <v>115</v>
      </c>
      <c r="B96" s="540"/>
      <c r="C96" s="540"/>
      <c r="D96" s="257"/>
      <c r="E96" s="257"/>
      <c r="F96" s="257"/>
      <c r="G96" s="256">
        <f>G18-G85</f>
        <v>0</v>
      </c>
      <c r="I96" s="252"/>
      <c r="J96" s="252"/>
    </row>
    <row r="97" spans="1:10" s="251" customFormat="1" ht="12.75" customHeight="1">
      <c r="A97" s="541" t="s">
        <v>116</v>
      </c>
      <c r="B97" s="541"/>
      <c r="C97" s="541"/>
      <c r="D97" s="254"/>
      <c r="E97" s="254"/>
      <c r="F97" s="254"/>
      <c r="G97" s="253">
        <v>0</v>
      </c>
      <c r="I97" s="252"/>
      <c r="J97" s="252"/>
    </row>
    <row r="98" spans="1:10" ht="12.75" customHeight="1">
      <c r="A98" s="542" t="s">
        <v>152</v>
      </c>
      <c r="B98" s="543"/>
      <c r="C98" s="544"/>
      <c r="D98" s="249"/>
      <c r="E98" s="249"/>
      <c r="F98" s="249"/>
      <c r="G98" s="246">
        <f>G94+G93+G92+G95+G96+G97</f>
        <v>-202467</v>
      </c>
      <c r="H98" s="248"/>
    </row>
    <row r="99" spans="1:10" ht="12.75" customHeight="1">
      <c r="A99" s="545" t="s">
        <v>151</v>
      </c>
      <c r="B99" s="546"/>
      <c r="C99" s="547"/>
      <c r="D99" s="249"/>
      <c r="E99" s="249"/>
      <c r="F99" s="249"/>
      <c r="G99" s="246"/>
      <c r="H99" s="248"/>
      <c r="I99" s="250" t="s">
        <v>150</v>
      </c>
    </row>
    <row r="100" spans="1:10">
      <c r="A100" s="532" t="s">
        <v>149</v>
      </c>
      <c r="B100" s="533"/>
      <c r="C100" s="534"/>
      <c r="D100" s="249"/>
      <c r="E100" s="249"/>
      <c r="F100" s="249"/>
      <c r="G100" s="246">
        <v>0</v>
      </c>
      <c r="H100" s="248"/>
      <c r="I100" s="245" t="s">
        <v>147</v>
      </c>
    </row>
    <row r="101" spans="1:10" s="244" customFormat="1">
      <c r="A101" s="532" t="s">
        <v>148</v>
      </c>
      <c r="B101" s="533"/>
      <c r="C101" s="534"/>
      <c r="D101" s="247"/>
      <c r="E101" s="247"/>
      <c r="F101" s="247"/>
      <c r="G101" s="246">
        <v>0</v>
      </c>
      <c r="I101" s="245" t="s">
        <v>147</v>
      </c>
    </row>
    <row r="102" spans="1:10" ht="26.25" customHeight="1">
      <c r="A102" s="535" t="s">
        <v>113</v>
      </c>
      <c r="B102" s="536"/>
      <c r="C102" s="537"/>
      <c r="D102" s="243"/>
      <c r="E102" s="243"/>
      <c r="F102" s="243"/>
      <c r="G102" s="242">
        <f>G98-G101-G100</f>
        <v>-202467</v>
      </c>
      <c r="I102" s="224" t="s">
        <v>146</v>
      </c>
    </row>
    <row r="103" spans="1:10">
      <c r="G103" s="241"/>
    </row>
    <row r="104" spans="1:10">
      <c r="A104" s="235" t="s">
        <v>56</v>
      </c>
      <c r="B104" s="240"/>
      <c r="C104" s="240"/>
      <c r="D104" s="239"/>
      <c r="E104" s="239"/>
      <c r="F104" s="239"/>
      <c r="G104" s="236" t="s">
        <v>57</v>
      </c>
    </row>
    <row r="105" spans="1:10">
      <c r="A105" s="238"/>
      <c r="B105" s="238"/>
      <c r="C105" s="238"/>
      <c r="D105" s="237"/>
      <c r="E105" s="237"/>
      <c r="F105" s="237"/>
      <c r="G105" s="236"/>
    </row>
    <row r="106" spans="1:10">
      <c r="A106" s="235" t="s">
        <v>58</v>
      </c>
      <c r="G106" s="234" t="s">
        <v>59</v>
      </c>
    </row>
    <row r="107" spans="1:10">
      <c r="G107" s="234"/>
    </row>
    <row r="108" spans="1:10">
      <c r="B108" s="232" t="s">
        <v>61</v>
      </c>
      <c r="C108" s="232"/>
      <c r="G108" s="224"/>
    </row>
    <row r="109" spans="1:10" ht="27.75" customHeight="1">
      <c r="A109" s="538" t="s">
        <v>145</v>
      </c>
      <c r="B109" s="538"/>
      <c r="C109" s="538"/>
      <c r="D109" s="538"/>
      <c r="E109" s="538"/>
      <c r="F109" s="538"/>
      <c r="G109" s="538"/>
    </row>
    <row r="110" spans="1:10">
      <c r="A110" s="232" t="s">
        <v>144</v>
      </c>
      <c r="B110" s="232"/>
      <c r="C110" s="232"/>
      <c r="G110" s="233">
        <v>0</v>
      </c>
    </row>
    <row r="111" spans="1:10" ht="53.25" customHeight="1">
      <c r="A111" s="538" t="s">
        <v>143</v>
      </c>
      <c r="B111" s="538"/>
      <c r="C111" s="538"/>
      <c r="D111" s="538"/>
      <c r="E111" s="538"/>
      <c r="F111" s="538"/>
      <c r="G111" s="538"/>
    </row>
    <row r="112" spans="1:10">
      <c r="B112" s="232"/>
      <c r="C112" s="232"/>
      <c r="G112" s="224"/>
    </row>
    <row r="113" spans="1:7">
      <c r="A113" s="227" t="s">
        <v>100</v>
      </c>
      <c r="G113" s="224"/>
    </row>
    <row r="114" spans="1:7">
      <c r="A114" s="227" t="s">
        <v>142</v>
      </c>
      <c r="G114" s="224"/>
    </row>
    <row r="115" spans="1:7" ht="14.25" customHeight="1">
      <c r="A115" s="231"/>
      <c r="B115" s="230"/>
      <c r="C115" s="230"/>
      <c r="D115" s="229"/>
      <c r="E115" s="229"/>
      <c r="F115" s="229"/>
      <c r="G115" s="228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625" t="s">
        <v>125</v>
      </c>
      <c r="B1" s="625"/>
      <c r="C1" s="625"/>
      <c r="D1" s="625"/>
      <c r="E1" s="625"/>
    </row>
    <row r="2" spans="1:5">
      <c r="A2" s="447" t="s">
        <v>2</v>
      </c>
      <c r="B2" s="447"/>
      <c r="C2" s="6">
        <f>C3+C4</f>
        <v>0</v>
      </c>
      <c r="D2" s="7"/>
    </row>
    <row r="3" spans="1:5">
      <c r="A3" s="445" t="s">
        <v>3</v>
      </c>
      <c r="B3" s="445"/>
      <c r="C3" s="9">
        <v>0</v>
      </c>
      <c r="D3" s="7"/>
      <c r="E3" s="87"/>
    </row>
    <row r="4" spans="1:5">
      <c r="A4" s="445" t="s">
        <v>4</v>
      </c>
      <c r="B4" s="445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57" t="s">
        <v>5</v>
      </c>
      <c r="B6" s="668"/>
      <c r="C6" s="669"/>
      <c r="D6" s="673" t="s">
        <v>6</v>
      </c>
      <c r="E6" s="653">
        <f>E11+E15+E16+E17+E18+E26</f>
        <v>0</v>
      </c>
    </row>
    <row r="7" spans="1:5">
      <c r="A7" s="670"/>
      <c r="B7" s="671"/>
      <c r="C7" s="672"/>
      <c r="D7" s="674"/>
      <c r="E7" s="653"/>
    </row>
    <row r="8" spans="1:5">
      <c r="A8" s="463" t="s">
        <v>7</v>
      </c>
      <c r="B8" s="463"/>
      <c r="C8" s="463"/>
      <c r="D8" s="463"/>
      <c r="E8" s="463"/>
    </row>
    <row r="9" spans="1:5" s="150" customFormat="1" ht="38.25" customHeight="1">
      <c r="A9" s="656" t="s">
        <v>95</v>
      </c>
      <c r="B9" s="656"/>
      <c r="C9" s="656"/>
      <c r="D9" s="148"/>
      <c r="E9" s="149">
        <v>0</v>
      </c>
    </row>
    <row r="10" spans="1:5" s="147" customFormat="1" ht="27" customHeight="1">
      <c r="A10" s="651" t="s">
        <v>9</v>
      </c>
      <c r="B10" s="652"/>
      <c r="C10" s="652"/>
      <c r="D10" s="151"/>
      <c r="E10" s="146">
        <v>0</v>
      </c>
    </row>
    <row r="11" spans="1:5" ht="12.75" customHeight="1">
      <c r="A11" s="655" t="s">
        <v>10</v>
      </c>
      <c r="B11" s="655"/>
      <c r="C11" s="655"/>
      <c r="D11" s="131"/>
      <c r="E11" s="76">
        <f>E9+E10</f>
        <v>0</v>
      </c>
    </row>
    <row r="12" spans="1:5">
      <c r="A12" s="675" t="s">
        <v>35</v>
      </c>
      <c r="B12" s="675"/>
      <c r="C12" s="675"/>
      <c r="D12" s="675"/>
      <c r="E12" s="675"/>
    </row>
    <row r="13" spans="1:5" s="150" customFormat="1" ht="25.5" customHeight="1">
      <c r="A13" s="656" t="s">
        <v>12</v>
      </c>
      <c r="B13" s="656"/>
      <c r="C13" s="656"/>
      <c r="D13" s="148"/>
      <c r="E13" s="149">
        <v>0</v>
      </c>
    </row>
    <row r="14" spans="1:5" s="147" customFormat="1" ht="27" customHeight="1">
      <c r="A14" s="651" t="s">
        <v>13</v>
      </c>
      <c r="B14" s="652"/>
      <c r="C14" s="652"/>
      <c r="D14" s="151"/>
      <c r="E14" s="146">
        <v>0</v>
      </c>
    </row>
    <row r="15" spans="1:5" ht="12.75" customHeight="1">
      <c r="A15" s="655" t="s">
        <v>14</v>
      </c>
      <c r="B15" s="655"/>
      <c r="C15" s="655"/>
      <c r="D15" s="131"/>
      <c r="E15" s="76">
        <f>E13+E14</f>
        <v>0</v>
      </c>
    </row>
    <row r="16" spans="1:5" s="93" customFormat="1">
      <c r="A16" s="523" t="s">
        <v>82</v>
      </c>
      <c r="B16" s="524"/>
      <c r="C16" s="525"/>
      <c r="D16" s="152"/>
      <c r="E16" s="92">
        <v>0</v>
      </c>
    </row>
    <row r="17" spans="1:5" s="96" customFormat="1" ht="12.75" customHeight="1">
      <c r="A17" s="526" t="s">
        <v>71</v>
      </c>
      <c r="B17" s="527"/>
      <c r="C17" s="528"/>
      <c r="D17" s="153"/>
      <c r="E17" s="95">
        <v>0</v>
      </c>
    </row>
    <row r="18" spans="1:5" s="99" customFormat="1" ht="12.75" customHeight="1">
      <c r="A18" s="529" t="s">
        <v>70</v>
      </c>
      <c r="B18" s="530"/>
      <c r="C18" s="531"/>
      <c r="D18" s="154"/>
      <c r="E18" s="98">
        <v>0</v>
      </c>
    </row>
    <row r="19" spans="1:5" s="99" customFormat="1" ht="12.75" customHeight="1">
      <c r="A19" s="646" t="s">
        <v>104</v>
      </c>
      <c r="B19" s="646"/>
      <c r="C19" s="646"/>
      <c r="D19" s="646"/>
      <c r="E19" s="646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57" t="s">
        <v>44</v>
      </c>
      <c r="B28" s="658"/>
      <c r="C28" s="659"/>
      <c r="D28" s="183"/>
      <c r="E28" s="663">
        <f>E33+E37+E38+E39+E40+E48</f>
        <v>0</v>
      </c>
    </row>
    <row r="29" spans="1:5">
      <c r="A29" s="660"/>
      <c r="B29" s="661"/>
      <c r="C29" s="662"/>
      <c r="D29" s="184"/>
      <c r="E29" s="664"/>
    </row>
    <row r="30" spans="1:5">
      <c r="A30" s="469" t="s">
        <v>16</v>
      </c>
      <c r="B30" s="469"/>
      <c r="C30" s="469"/>
      <c r="D30" s="469"/>
      <c r="E30" s="469"/>
    </row>
    <row r="31" spans="1:5" s="150" customFormat="1" ht="27" customHeight="1">
      <c r="A31" s="650" t="s">
        <v>45</v>
      </c>
      <c r="B31" s="650"/>
      <c r="C31" s="650"/>
      <c r="D31" s="148"/>
      <c r="E31" s="149">
        <v>0</v>
      </c>
    </row>
    <row r="32" spans="1:5" ht="24.75" customHeight="1">
      <c r="A32" s="651" t="s">
        <v>46</v>
      </c>
      <c r="B32" s="652"/>
      <c r="C32" s="652"/>
      <c r="D32" s="158"/>
      <c r="E32" s="84">
        <f>E10</f>
        <v>0</v>
      </c>
    </row>
    <row r="33" spans="1:5" ht="12.75" customHeight="1">
      <c r="A33" s="655" t="s">
        <v>47</v>
      </c>
      <c r="B33" s="655"/>
      <c r="C33" s="655"/>
      <c r="D33" s="131"/>
      <c r="E33" s="76">
        <f>E31+E32</f>
        <v>0</v>
      </c>
    </row>
    <row r="34" spans="1:5">
      <c r="A34" s="469" t="s">
        <v>35</v>
      </c>
      <c r="B34" s="469"/>
      <c r="C34" s="469"/>
      <c r="D34" s="469"/>
      <c r="E34" s="469"/>
    </row>
    <row r="35" spans="1:5" s="150" customFormat="1" ht="25.5" customHeight="1">
      <c r="A35" s="656" t="s">
        <v>48</v>
      </c>
      <c r="B35" s="656"/>
      <c r="C35" s="656"/>
      <c r="D35" s="148"/>
      <c r="E35" s="149">
        <v>0</v>
      </c>
    </row>
    <row r="36" spans="1:5" s="147" customFormat="1">
      <c r="A36" s="654" t="s">
        <v>49</v>
      </c>
      <c r="B36" s="654"/>
      <c r="C36" s="654"/>
      <c r="D36" s="159"/>
      <c r="E36" s="146">
        <f>E14</f>
        <v>0</v>
      </c>
    </row>
    <row r="37" spans="1:5" ht="12.75" customHeight="1">
      <c r="A37" s="655" t="s">
        <v>50</v>
      </c>
      <c r="B37" s="655"/>
      <c r="C37" s="655"/>
      <c r="D37" s="131"/>
      <c r="E37" s="76">
        <f>E35+E36</f>
        <v>0</v>
      </c>
    </row>
    <row r="38" spans="1:5" s="93" customFormat="1" ht="12.75" customHeight="1">
      <c r="A38" s="523" t="s">
        <v>83</v>
      </c>
      <c r="B38" s="524"/>
      <c r="C38" s="525"/>
      <c r="D38" s="152"/>
      <c r="E38" s="92">
        <v>0</v>
      </c>
    </row>
    <row r="39" spans="1:5" ht="12.75" customHeight="1">
      <c r="A39" s="511" t="s">
        <v>73</v>
      </c>
      <c r="B39" s="512"/>
      <c r="C39" s="513"/>
      <c r="D39" s="131"/>
      <c r="E39" s="95">
        <v>0</v>
      </c>
    </row>
    <row r="40" spans="1:5" s="99" customFormat="1" ht="12.75" customHeight="1">
      <c r="A40" s="514" t="s">
        <v>72</v>
      </c>
      <c r="B40" s="515"/>
      <c r="C40" s="516"/>
      <c r="D40" s="154"/>
      <c r="E40" s="98">
        <v>0</v>
      </c>
    </row>
    <row r="41" spans="1:5" s="99" customFormat="1" ht="12.75" customHeight="1">
      <c r="A41" s="646" t="s">
        <v>104</v>
      </c>
      <c r="B41" s="646"/>
      <c r="C41" s="646"/>
      <c r="D41" s="646"/>
      <c r="E41" s="646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647" t="s">
        <v>51</v>
      </c>
      <c r="B49" s="647"/>
      <c r="C49" s="647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57" t="s">
        <v>15</v>
      </c>
      <c r="B51" s="658"/>
      <c r="C51" s="659"/>
      <c r="D51" s="183"/>
      <c r="E51" s="653">
        <f>E70+E77</f>
        <v>0</v>
      </c>
    </row>
    <row r="52" spans="1:7" s="38" customFormat="1">
      <c r="A52" s="660"/>
      <c r="B52" s="661"/>
      <c r="C52" s="662"/>
      <c r="D52" s="184"/>
      <c r="E52" s="653"/>
    </row>
    <row r="53" spans="1:7" s="38" customFormat="1">
      <c r="A53" s="469" t="s">
        <v>16</v>
      </c>
      <c r="B53" s="469"/>
      <c r="C53" s="469"/>
      <c r="D53" s="469"/>
      <c r="E53" s="469"/>
    </row>
    <row r="54" spans="1:7" s="38" customFormat="1" ht="24.75" customHeight="1">
      <c r="A54" s="648" t="s">
        <v>17</v>
      </c>
      <c r="B54" s="648"/>
      <c r="C54" s="648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71" t="s">
        <v>18</v>
      </c>
      <c r="B55" s="472"/>
      <c r="C55" s="473"/>
      <c r="D55" s="162">
        <v>0.28999999999999998</v>
      </c>
      <c r="E55" s="84">
        <f>D55*C4</f>
        <v>0</v>
      </c>
    </row>
    <row r="56" spans="1:7" s="179" customFormat="1">
      <c r="A56" s="471" t="s">
        <v>19</v>
      </c>
      <c r="B56" s="472"/>
      <c r="C56" s="473"/>
      <c r="D56" s="162">
        <v>0.78</v>
      </c>
      <c r="E56" s="84">
        <f>D56*C2</f>
        <v>0</v>
      </c>
    </row>
    <row r="57" spans="1:7" s="179" customFormat="1">
      <c r="A57" s="471" t="s">
        <v>20</v>
      </c>
      <c r="B57" s="472"/>
      <c r="C57" s="473"/>
      <c r="D57" s="162">
        <v>0.11</v>
      </c>
      <c r="E57" s="84">
        <f>D57*C2</f>
        <v>0</v>
      </c>
    </row>
    <row r="58" spans="1:7" s="179" customFormat="1">
      <c r="A58" s="471" t="s">
        <v>21</v>
      </c>
      <c r="B58" s="472"/>
      <c r="C58" s="473"/>
      <c r="D58" s="162">
        <v>0.08</v>
      </c>
      <c r="E58" s="84">
        <f>D58*C2</f>
        <v>0</v>
      </c>
    </row>
    <row r="59" spans="1:7" s="179" customFormat="1">
      <c r="A59" s="471" t="s">
        <v>22</v>
      </c>
      <c r="B59" s="472"/>
      <c r="C59" s="473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71" t="s">
        <v>96</v>
      </c>
      <c r="B60" s="472"/>
      <c r="C60" s="473"/>
      <c r="D60" s="162">
        <v>3.96</v>
      </c>
      <c r="E60" s="84">
        <f>D60*C2</f>
        <v>0</v>
      </c>
    </row>
    <row r="61" spans="1:7" s="179" customFormat="1">
      <c r="A61" s="471" t="s">
        <v>24</v>
      </c>
      <c r="B61" s="472"/>
      <c r="C61" s="473"/>
      <c r="D61" s="162">
        <v>0.42</v>
      </c>
      <c r="E61" s="84">
        <f>D61*C2</f>
        <v>0</v>
      </c>
      <c r="G61" s="125"/>
    </row>
    <row r="62" spans="1:7" s="179" customFormat="1" ht="25.5" customHeight="1">
      <c r="A62" s="648" t="s">
        <v>123</v>
      </c>
      <c r="B62" s="648"/>
      <c r="C62" s="648"/>
      <c r="D62" s="163"/>
      <c r="E62" s="185">
        <f>SUM(E63:E67)</f>
        <v>0</v>
      </c>
    </row>
    <row r="63" spans="1:7" s="38" customFormat="1" ht="27.75" customHeight="1">
      <c r="A63" s="468" t="s">
        <v>122</v>
      </c>
      <c r="B63" s="468"/>
      <c r="C63" s="468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75" t="s">
        <v>29</v>
      </c>
      <c r="B64" s="475"/>
      <c r="C64" s="475"/>
      <c r="D64" s="16">
        <v>0.43</v>
      </c>
      <c r="E64" s="84">
        <f>D64*C2</f>
        <v>0</v>
      </c>
    </row>
    <row r="65" spans="1:7" s="38" customFormat="1">
      <c r="A65" s="471" t="s">
        <v>121</v>
      </c>
      <c r="B65" s="472"/>
      <c r="C65" s="473"/>
      <c r="D65" s="162">
        <f>((1.27*6)+(1.4*6))/12</f>
        <v>1.335</v>
      </c>
      <c r="E65" s="84">
        <f>D65*C3</f>
        <v>0</v>
      </c>
    </row>
    <row r="66" spans="1:7" s="38" customFormat="1">
      <c r="A66" s="471" t="s">
        <v>124</v>
      </c>
      <c r="B66" s="472"/>
      <c r="C66" s="473"/>
      <c r="D66" s="162">
        <v>0.26100000000000001</v>
      </c>
      <c r="E66" s="84">
        <f>D66*C3</f>
        <v>0</v>
      </c>
    </row>
    <row r="67" spans="1:7" s="38" customFormat="1" ht="25.5" customHeight="1">
      <c r="A67" s="471" t="s">
        <v>119</v>
      </c>
      <c r="B67" s="472"/>
      <c r="C67" s="473"/>
      <c r="D67" s="162">
        <v>0</v>
      </c>
      <c r="E67" s="84">
        <v>0</v>
      </c>
    </row>
    <row r="68" spans="1:7" s="38" customFormat="1">
      <c r="A68" s="468" t="s">
        <v>87</v>
      </c>
      <c r="B68" s="468"/>
      <c r="C68" s="468"/>
      <c r="D68" s="16"/>
      <c r="E68" s="84">
        <f>(E9)*0.02</f>
        <v>0</v>
      </c>
    </row>
    <row r="69" spans="1:7" s="38" customFormat="1">
      <c r="A69" s="468" t="s">
        <v>37</v>
      </c>
      <c r="B69" s="468"/>
      <c r="C69" s="468"/>
      <c r="D69" s="16">
        <v>0.86</v>
      </c>
      <c r="E69" s="84">
        <f>0.1*E11</f>
        <v>0</v>
      </c>
    </row>
    <row r="70" spans="1:7" s="38" customFormat="1">
      <c r="A70" s="647" t="s">
        <v>101</v>
      </c>
      <c r="B70" s="647"/>
      <c r="C70" s="647"/>
      <c r="D70" s="160"/>
      <c r="E70" s="123">
        <f>E62+E68+E69</f>
        <v>0</v>
      </c>
    </row>
    <row r="71" spans="1:7" s="179" customFormat="1" ht="55.5" customHeight="1">
      <c r="A71" s="676" t="s">
        <v>112</v>
      </c>
      <c r="B71" s="677"/>
      <c r="C71" s="678"/>
      <c r="D71" s="186"/>
      <c r="E71" s="84">
        <v>0</v>
      </c>
    </row>
    <row r="72" spans="1:7" s="27" customFormat="1">
      <c r="A72" s="647" t="s">
        <v>102</v>
      </c>
      <c r="B72" s="647"/>
      <c r="C72" s="647"/>
      <c r="D72" s="160"/>
      <c r="E72" s="123">
        <f>E70+E71</f>
        <v>0</v>
      </c>
    </row>
    <row r="73" spans="1:7">
      <c r="A73" s="469" t="s">
        <v>35</v>
      </c>
      <c r="B73" s="469"/>
      <c r="C73" s="469"/>
      <c r="D73" s="469"/>
      <c r="E73" s="469"/>
    </row>
    <row r="74" spans="1:7" ht="24.75" customHeight="1">
      <c r="A74" s="649" t="s">
        <v>120</v>
      </c>
      <c r="B74" s="649"/>
      <c r="C74" s="649"/>
      <c r="D74" s="36">
        <v>4.38</v>
      </c>
      <c r="E74" s="84">
        <v>0</v>
      </c>
    </row>
    <row r="75" spans="1:7">
      <c r="A75" s="468" t="s">
        <v>87</v>
      </c>
      <c r="B75" s="468"/>
      <c r="C75" s="468"/>
      <c r="D75" s="36"/>
      <c r="E75" s="84">
        <f>(E13)*0.02</f>
        <v>0</v>
      </c>
    </row>
    <row r="76" spans="1:7">
      <c r="A76" s="468" t="s">
        <v>37</v>
      </c>
      <c r="B76" s="468"/>
      <c r="C76" s="468"/>
      <c r="D76" s="36"/>
      <c r="E76" s="84">
        <f>(E15)*0.12</f>
        <v>0</v>
      </c>
    </row>
    <row r="77" spans="1:7">
      <c r="A77" s="647" t="s">
        <v>38</v>
      </c>
      <c r="B77" s="647"/>
      <c r="C77" s="647"/>
      <c r="D77" s="160"/>
      <c r="E77" s="185">
        <f>SUM(E74:E76)</f>
        <v>0</v>
      </c>
    </row>
    <row r="78" spans="1:7" s="93" customFormat="1" ht="14.25" customHeight="1">
      <c r="A78" s="517" t="s">
        <v>84</v>
      </c>
      <c r="B78" s="518"/>
      <c r="C78" s="518"/>
      <c r="D78" s="518"/>
      <c r="E78" s="519"/>
    </row>
    <row r="79" spans="1:7" s="93" customFormat="1" ht="12.75" customHeight="1">
      <c r="A79" s="520" t="s">
        <v>85</v>
      </c>
      <c r="B79" s="521"/>
      <c r="C79" s="522"/>
      <c r="D79" s="164"/>
      <c r="E79" s="129">
        <v>0</v>
      </c>
      <c r="G79" s="93" t="s">
        <v>140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506" t="s">
        <v>37</v>
      </c>
      <c r="B81" s="506"/>
      <c r="C81" s="506"/>
      <c r="D81" s="165"/>
      <c r="E81" s="130">
        <f>E16*0.12</f>
        <v>0</v>
      </c>
    </row>
    <row r="82" spans="1:5" s="93" customFormat="1" ht="12.75" customHeight="1">
      <c r="A82" s="506" t="s">
        <v>87</v>
      </c>
      <c r="B82" s="506"/>
      <c r="C82" s="506"/>
      <c r="D82" s="165"/>
      <c r="E82" s="130">
        <f>E16*0.02</f>
        <v>0</v>
      </c>
    </row>
    <row r="83" spans="1:5" s="93" customFormat="1" ht="12.75" customHeight="1">
      <c r="A83" s="679" t="s">
        <v>88</v>
      </c>
      <c r="B83" s="679"/>
      <c r="C83" s="679"/>
      <c r="D83" s="166"/>
      <c r="E83" s="124">
        <f>SUM(E79:E82)</f>
        <v>0</v>
      </c>
    </row>
    <row r="84" spans="1:5" s="96" customFormat="1">
      <c r="A84" s="508" t="s">
        <v>77</v>
      </c>
      <c r="B84" s="509"/>
      <c r="C84" s="509"/>
      <c r="D84" s="509"/>
      <c r="E84" s="510"/>
    </row>
    <row r="85" spans="1:5" s="96" customFormat="1">
      <c r="A85" s="494" t="s">
        <v>37</v>
      </c>
      <c r="B85" s="494"/>
      <c r="C85" s="494"/>
      <c r="D85" s="167"/>
      <c r="E85" s="107">
        <f>E17*0.12</f>
        <v>0</v>
      </c>
    </row>
    <row r="86" spans="1:5" s="96" customFormat="1">
      <c r="A86" s="494" t="s">
        <v>75</v>
      </c>
      <c r="B86" s="494"/>
      <c r="C86" s="494"/>
      <c r="D86" s="167"/>
      <c r="E86" s="107">
        <f>E17-E17/1.18</f>
        <v>0</v>
      </c>
    </row>
    <row r="87" spans="1:5" s="96" customFormat="1">
      <c r="A87" s="680" t="s">
        <v>78</v>
      </c>
      <c r="B87" s="680"/>
      <c r="C87" s="680"/>
      <c r="D87" s="168"/>
      <c r="E87" s="127">
        <f>E85+E86</f>
        <v>0</v>
      </c>
    </row>
    <row r="88" spans="1:5" s="99" customFormat="1">
      <c r="A88" s="496" t="s">
        <v>74</v>
      </c>
      <c r="B88" s="497"/>
      <c r="C88" s="497"/>
      <c r="D88" s="497"/>
      <c r="E88" s="498"/>
    </row>
    <row r="89" spans="1:5" s="99" customFormat="1">
      <c r="A89" s="501" t="s">
        <v>37</v>
      </c>
      <c r="B89" s="501"/>
      <c r="C89" s="501"/>
      <c r="D89" s="169"/>
      <c r="E89" s="111">
        <f>E76*0.2</f>
        <v>0</v>
      </c>
    </row>
    <row r="90" spans="1:5" s="99" customFormat="1">
      <c r="A90" s="501" t="s">
        <v>75</v>
      </c>
      <c r="B90" s="501"/>
      <c r="C90" s="501"/>
      <c r="D90" s="169"/>
      <c r="E90" s="111">
        <f>E76-E76/1.18</f>
        <v>0</v>
      </c>
    </row>
    <row r="91" spans="1:5" s="99" customFormat="1">
      <c r="A91" s="502" t="s">
        <v>76</v>
      </c>
      <c r="B91" s="502"/>
      <c r="C91" s="502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65" t="s">
        <v>79</v>
      </c>
      <c r="B93" s="666"/>
      <c r="C93" s="666"/>
      <c r="D93" s="666"/>
      <c r="E93" s="667"/>
    </row>
    <row r="94" spans="1:5" ht="12.75" customHeight="1">
      <c r="A94" s="637" t="s">
        <v>97</v>
      </c>
      <c r="B94" s="638"/>
      <c r="C94" s="639"/>
      <c r="D94" s="172"/>
      <c r="E94" s="188">
        <f>E11-E72</f>
        <v>0</v>
      </c>
    </row>
    <row r="95" spans="1:5" ht="12.75" customHeight="1">
      <c r="A95" s="637" t="s">
        <v>98</v>
      </c>
      <c r="B95" s="638"/>
      <c r="C95" s="639"/>
      <c r="D95" s="172"/>
      <c r="E95" s="189">
        <f>E15-E77</f>
        <v>0</v>
      </c>
    </row>
    <row r="96" spans="1:5" ht="12.75" customHeight="1">
      <c r="A96" s="637" t="s">
        <v>117</v>
      </c>
      <c r="B96" s="638"/>
      <c r="C96" s="639"/>
      <c r="D96" s="172"/>
      <c r="E96" s="188">
        <v>0</v>
      </c>
    </row>
    <row r="97" spans="1:7" ht="12.75" customHeight="1">
      <c r="A97" s="637" t="s">
        <v>118</v>
      </c>
      <c r="B97" s="638"/>
      <c r="C97" s="639"/>
      <c r="D97" s="172"/>
      <c r="E97" s="188">
        <f>E96+E95+E94</f>
        <v>0</v>
      </c>
      <c r="F97" s="48"/>
    </row>
    <row r="98" spans="1:7" s="132" customFormat="1" ht="18.75" customHeight="1">
      <c r="A98" s="640" t="s">
        <v>99</v>
      </c>
      <c r="B98" s="641"/>
      <c r="C98" s="642"/>
      <c r="D98" s="131"/>
      <c r="E98" s="188">
        <v>0</v>
      </c>
      <c r="G98" s="187"/>
    </row>
    <row r="99" spans="1:7" ht="26.25" customHeight="1">
      <c r="A99" s="643" t="s">
        <v>113</v>
      </c>
      <c r="B99" s="644"/>
      <c r="C99" s="645"/>
      <c r="D99" s="173"/>
      <c r="E99" s="190">
        <f>E97-E98</f>
        <v>0</v>
      </c>
    </row>
    <row r="100" spans="1:7" s="114" customFormat="1" ht="27" customHeight="1">
      <c r="A100" s="503" t="s">
        <v>114</v>
      </c>
      <c r="B100" s="503"/>
      <c r="C100" s="503"/>
      <c r="D100" s="152"/>
      <c r="E100" s="191">
        <f>E16-E83</f>
        <v>0</v>
      </c>
    </row>
    <row r="101" spans="1:7" s="116" customFormat="1" ht="12.75" customHeight="1">
      <c r="A101" s="504" t="s">
        <v>115</v>
      </c>
      <c r="B101" s="504"/>
      <c r="C101" s="504"/>
      <c r="D101" s="174"/>
      <c r="E101" s="192">
        <f>E17-E87</f>
        <v>0</v>
      </c>
    </row>
    <row r="102" spans="1:7" s="118" customFormat="1" ht="12.75" customHeight="1">
      <c r="A102" s="505" t="s">
        <v>116</v>
      </c>
      <c r="B102" s="505"/>
      <c r="C102" s="505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113"/>
  <sheetViews>
    <sheetView tabSelected="1" workbookViewId="0">
      <pane xSplit="4" ySplit="5" topLeftCell="Z46" activePane="bottomRight" state="frozen"/>
      <selection pane="topRight" activeCell="E1" sqref="E1"/>
      <selection pane="bottomLeft" activeCell="A6" sqref="A6"/>
      <selection pane="bottomRight" activeCell="AB68" sqref="AB68"/>
    </sheetView>
  </sheetViews>
  <sheetFormatPr defaultRowHeight="12.75"/>
  <cols>
    <col min="2" max="3" width="23.85546875" customWidth="1"/>
    <col min="4" max="4" width="0" hidden="1" customWidth="1"/>
    <col min="5" max="5" width="11.5703125" customWidth="1"/>
    <col min="6" max="7" width="10.5703125" style="89" customWidth="1"/>
    <col min="8" max="9" width="10.28515625" style="89" customWidth="1"/>
    <col min="10" max="11" width="11" style="89" customWidth="1"/>
    <col min="12" max="12" width="10.42578125" style="89" customWidth="1"/>
    <col min="13" max="13" width="10.7109375" style="89" customWidth="1"/>
    <col min="14" max="14" width="10.5703125" style="89" customWidth="1"/>
    <col min="15" max="16" width="10.7109375" style="89" customWidth="1"/>
    <col min="17" max="17" width="11" style="89" customWidth="1"/>
    <col min="18" max="18" width="10.7109375" style="89" customWidth="1"/>
    <col min="19" max="19" width="10.85546875" style="89" customWidth="1"/>
    <col min="20" max="21" width="10.5703125" style="89" customWidth="1"/>
    <col min="22" max="22" width="10.7109375" style="89" customWidth="1"/>
    <col min="23" max="25" width="10.28515625" style="89" customWidth="1"/>
    <col min="26" max="26" width="10.5703125" style="89" customWidth="1"/>
    <col min="27" max="27" width="9.7109375" style="89" customWidth="1"/>
    <col min="28" max="28" width="11.7109375" bestFit="1" customWidth="1"/>
    <col min="30" max="30" width="11.5703125" bestFit="1" customWidth="1"/>
    <col min="31" max="31" width="10.28515625" bestFit="1" customWidth="1"/>
    <col min="32" max="32" width="12.85546875" bestFit="1" customWidth="1"/>
  </cols>
  <sheetData>
    <row r="1" spans="1:38">
      <c r="A1" s="350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3" spans="1:38"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</row>
    <row r="4" spans="1:38">
      <c r="A4" s="692"/>
      <c r="B4" s="693"/>
      <c r="C4" s="694"/>
      <c r="D4" s="416"/>
      <c r="E4" s="417">
        <v>1</v>
      </c>
      <c r="F4" s="418">
        <v>4</v>
      </c>
      <c r="G4" s="418">
        <v>6</v>
      </c>
      <c r="H4" s="418">
        <v>7</v>
      </c>
      <c r="I4" s="418">
        <v>8</v>
      </c>
      <c r="J4" s="418">
        <v>10</v>
      </c>
      <c r="K4" s="418">
        <v>14</v>
      </c>
      <c r="L4" s="418">
        <v>17</v>
      </c>
      <c r="M4" s="418">
        <v>19</v>
      </c>
      <c r="N4" s="418">
        <v>20</v>
      </c>
      <c r="O4" s="418">
        <v>21</v>
      </c>
      <c r="P4" s="418">
        <v>24</v>
      </c>
      <c r="Q4" s="418">
        <v>25</v>
      </c>
      <c r="R4" s="418">
        <v>26</v>
      </c>
      <c r="S4" s="418">
        <v>27</v>
      </c>
      <c r="T4" s="418">
        <v>28</v>
      </c>
      <c r="U4" s="418">
        <v>30</v>
      </c>
      <c r="V4" s="418">
        <v>31</v>
      </c>
      <c r="W4" s="418">
        <v>32</v>
      </c>
      <c r="X4" s="418">
        <v>34</v>
      </c>
      <c r="Y4" s="418">
        <v>35</v>
      </c>
      <c r="Z4" s="418">
        <v>119</v>
      </c>
      <c r="AA4" s="418">
        <v>132</v>
      </c>
      <c r="AB4" s="436"/>
      <c r="AC4" s="207"/>
      <c r="AD4" s="207"/>
      <c r="AE4" s="207"/>
      <c r="AF4" s="207"/>
      <c r="AG4" s="207"/>
      <c r="AH4" s="207"/>
      <c r="AI4" s="207"/>
      <c r="AJ4" s="207"/>
      <c r="AK4" s="207"/>
      <c r="AL4" s="207"/>
    </row>
    <row r="5" spans="1:38">
      <c r="A5" s="692"/>
      <c r="B5" s="693"/>
      <c r="C5" s="694"/>
      <c r="D5" s="416"/>
      <c r="E5" s="416"/>
      <c r="F5" s="419"/>
      <c r="G5" s="419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18"/>
      <c r="Z5" s="418"/>
      <c r="AA5" s="418"/>
      <c r="AB5" s="416"/>
    </row>
    <row r="6" spans="1:38">
      <c r="A6" s="714" t="s">
        <v>5</v>
      </c>
      <c r="B6" s="716"/>
      <c r="C6" s="716"/>
      <c r="D6" s="714" t="s">
        <v>6</v>
      </c>
      <c r="E6" s="715">
        <f t="shared" ref="E6:AA6" si="0">E11+E15+E16+E17+E18+E26</f>
        <v>2417202</v>
      </c>
      <c r="F6" s="690">
        <f t="shared" si="0"/>
        <v>2364053</v>
      </c>
      <c r="G6" s="690">
        <f t="shared" si="0"/>
        <v>2430999</v>
      </c>
      <c r="H6" s="690">
        <f t="shared" si="0"/>
        <v>2438088</v>
      </c>
      <c r="I6" s="690">
        <f t="shared" si="0"/>
        <v>2817169</v>
      </c>
      <c r="J6" s="690">
        <f t="shared" si="0"/>
        <v>3277798</v>
      </c>
      <c r="K6" s="690">
        <f t="shared" si="0"/>
        <v>2635669</v>
      </c>
      <c r="L6" s="690">
        <f t="shared" si="0"/>
        <v>3817436</v>
      </c>
      <c r="M6" s="690">
        <f t="shared" si="0"/>
        <v>3868664</v>
      </c>
      <c r="N6" s="690">
        <f t="shared" si="0"/>
        <v>3951122</v>
      </c>
      <c r="O6" s="690">
        <f t="shared" si="0"/>
        <v>3462611</v>
      </c>
      <c r="P6" s="690">
        <f t="shared" si="0"/>
        <v>3654289</v>
      </c>
      <c r="Q6" s="690">
        <f t="shared" si="0"/>
        <v>3821820</v>
      </c>
      <c r="R6" s="690">
        <f t="shared" si="0"/>
        <v>3660490</v>
      </c>
      <c r="S6" s="690">
        <f t="shared" si="0"/>
        <v>3623350</v>
      </c>
      <c r="T6" s="690">
        <f t="shared" si="0"/>
        <v>3417018</v>
      </c>
      <c r="U6" s="690">
        <f t="shared" si="0"/>
        <v>3691325</v>
      </c>
      <c r="V6" s="690">
        <f t="shared" si="0"/>
        <v>3723611</v>
      </c>
      <c r="W6" s="690">
        <f t="shared" si="0"/>
        <v>2225774</v>
      </c>
      <c r="X6" s="690">
        <f t="shared" si="0"/>
        <v>3040144</v>
      </c>
      <c r="Y6" s="690">
        <f t="shared" si="0"/>
        <v>2959250</v>
      </c>
      <c r="Z6" s="690">
        <f t="shared" si="0"/>
        <v>2030785</v>
      </c>
      <c r="AA6" s="690">
        <f t="shared" si="0"/>
        <v>824963</v>
      </c>
      <c r="AB6" s="681">
        <f>SUM(E6:AA7)</f>
        <v>70153630</v>
      </c>
    </row>
    <row r="7" spans="1:38">
      <c r="A7" s="716"/>
      <c r="B7" s="716"/>
      <c r="C7" s="716"/>
      <c r="D7" s="714"/>
      <c r="E7" s="715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0"/>
      <c r="Q7" s="690"/>
      <c r="R7" s="690"/>
      <c r="S7" s="690"/>
      <c r="T7" s="690"/>
      <c r="U7" s="690"/>
      <c r="V7" s="690"/>
      <c r="W7" s="690"/>
      <c r="X7" s="690"/>
      <c r="Y7" s="690"/>
      <c r="Z7" s="690"/>
      <c r="AA7" s="690"/>
      <c r="AB7" s="681"/>
    </row>
    <row r="8" spans="1:38">
      <c r="A8" s="706" t="s">
        <v>16</v>
      </c>
      <c r="B8" s="706"/>
      <c r="C8" s="706"/>
      <c r="D8" s="706"/>
      <c r="E8" s="70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</row>
    <row r="9" spans="1:38" ht="12.75" hidden="1" customHeight="1">
      <c r="A9" s="737" t="s">
        <v>141</v>
      </c>
      <c r="B9" s="737"/>
      <c r="C9" s="737"/>
      <c r="D9" s="353"/>
      <c r="E9" s="354">
        <v>262059</v>
      </c>
      <c r="F9" s="216">
        <v>258779</v>
      </c>
      <c r="G9" s="216">
        <v>256569</v>
      </c>
      <c r="H9" s="216">
        <v>261358</v>
      </c>
      <c r="I9" s="216">
        <v>334910</v>
      </c>
      <c r="J9" s="216">
        <v>341108</v>
      </c>
      <c r="K9" s="216">
        <v>333966</v>
      </c>
      <c r="L9" s="216">
        <v>582414</v>
      </c>
      <c r="M9" s="216">
        <v>616085</v>
      </c>
      <c r="N9" s="216">
        <v>565029</v>
      </c>
      <c r="O9" s="216">
        <v>587871</v>
      </c>
      <c r="P9" s="216">
        <v>585622</v>
      </c>
      <c r="Q9" s="216">
        <v>603477</v>
      </c>
      <c r="R9" s="216">
        <v>576118</v>
      </c>
      <c r="S9" s="216">
        <v>588740</v>
      </c>
      <c r="T9" s="216">
        <v>587458</v>
      </c>
      <c r="U9" s="216">
        <v>602771</v>
      </c>
      <c r="V9" s="216">
        <v>605906</v>
      </c>
      <c r="W9" s="216">
        <v>274848</v>
      </c>
      <c r="X9" s="216">
        <v>336037</v>
      </c>
      <c r="Y9" s="216">
        <v>356819</v>
      </c>
      <c r="Z9" s="216">
        <v>263714</v>
      </c>
      <c r="AA9" s="216">
        <v>101537</v>
      </c>
      <c r="AB9" s="437">
        <f>SUM(E9:AA9)</f>
        <v>9883195</v>
      </c>
    </row>
    <row r="10" spans="1:38" ht="12.75" hidden="1" customHeight="1">
      <c r="A10" s="717" t="s">
        <v>9</v>
      </c>
      <c r="B10" s="717"/>
      <c r="C10" s="717"/>
      <c r="D10" s="365"/>
      <c r="E10" s="355"/>
      <c r="F10" s="202">
        <v>0</v>
      </c>
      <c r="G10" s="202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2">
        <v>0</v>
      </c>
      <c r="N10" s="202">
        <v>0</v>
      </c>
      <c r="O10" s="202">
        <v>0</v>
      </c>
      <c r="P10" s="202">
        <v>0</v>
      </c>
      <c r="Q10" s="202">
        <v>0</v>
      </c>
      <c r="R10" s="202">
        <v>0</v>
      </c>
      <c r="S10" s="202">
        <v>0</v>
      </c>
      <c r="T10" s="202">
        <v>0</v>
      </c>
      <c r="U10" s="202">
        <v>0</v>
      </c>
      <c r="V10" s="202">
        <v>0</v>
      </c>
      <c r="W10" s="202">
        <v>0</v>
      </c>
      <c r="X10" s="202">
        <v>0</v>
      </c>
      <c r="Y10" s="202">
        <v>0</v>
      </c>
      <c r="Z10" s="202">
        <v>0</v>
      </c>
      <c r="AA10" s="202">
        <v>0</v>
      </c>
      <c r="AB10" s="416"/>
    </row>
    <row r="11" spans="1:38" ht="12.75" customHeight="1">
      <c r="A11" s="723" t="s">
        <v>10</v>
      </c>
      <c r="B11" s="723"/>
      <c r="C11" s="723"/>
      <c r="D11" s="356"/>
      <c r="E11" s="357">
        <f t="shared" ref="E11:AA11" si="1">E9+E10</f>
        <v>262059</v>
      </c>
      <c r="F11" s="214">
        <f t="shared" si="1"/>
        <v>258779</v>
      </c>
      <c r="G11" s="214">
        <f t="shared" si="1"/>
        <v>256569</v>
      </c>
      <c r="H11" s="214">
        <f t="shared" si="1"/>
        <v>261358</v>
      </c>
      <c r="I11" s="214">
        <f t="shared" si="1"/>
        <v>334910</v>
      </c>
      <c r="J11" s="214">
        <f t="shared" si="1"/>
        <v>341108</v>
      </c>
      <c r="K11" s="214">
        <f t="shared" si="1"/>
        <v>333966</v>
      </c>
      <c r="L11" s="214">
        <f t="shared" si="1"/>
        <v>582414</v>
      </c>
      <c r="M11" s="214">
        <f t="shared" si="1"/>
        <v>616085</v>
      </c>
      <c r="N11" s="214">
        <f t="shared" si="1"/>
        <v>565029</v>
      </c>
      <c r="O11" s="214">
        <f t="shared" si="1"/>
        <v>587871</v>
      </c>
      <c r="P11" s="214">
        <f t="shared" si="1"/>
        <v>585622</v>
      </c>
      <c r="Q11" s="214">
        <f t="shared" si="1"/>
        <v>603477</v>
      </c>
      <c r="R11" s="214">
        <f t="shared" si="1"/>
        <v>576118</v>
      </c>
      <c r="S11" s="214">
        <f t="shared" si="1"/>
        <v>588740</v>
      </c>
      <c r="T11" s="214">
        <f t="shared" si="1"/>
        <v>587458</v>
      </c>
      <c r="U11" s="214">
        <f t="shared" si="1"/>
        <v>602771</v>
      </c>
      <c r="V11" s="214">
        <f t="shared" si="1"/>
        <v>605906</v>
      </c>
      <c r="W11" s="214">
        <f t="shared" si="1"/>
        <v>274848</v>
      </c>
      <c r="X11" s="214">
        <f t="shared" si="1"/>
        <v>336037</v>
      </c>
      <c r="Y11" s="214">
        <f t="shared" si="1"/>
        <v>356819</v>
      </c>
      <c r="Z11" s="214">
        <f t="shared" si="1"/>
        <v>263714</v>
      </c>
      <c r="AA11" s="214">
        <f t="shared" si="1"/>
        <v>101537</v>
      </c>
      <c r="AB11" s="440">
        <f t="shared" ref="AB11:AB74" si="2">SUM(E11:AA11)</f>
        <v>9883195</v>
      </c>
    </row>
    <row r="12" spans="1:38">
      <c r="A12" s="706" t="s">
        <v>35</v>
      </c>
      <c r="B12" s="706"/>
      <c r="C12" s="706"/>
      <c r="D12" s="706"/>
      <c r="E12" s="70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37"/>
    </row>
    <row r="13" spans="1:38" ht="12.75" hidden="1" customHeight="1">
      <c r="A13" s="722" t="s">
        <v>12</v>
      </c>
      <c r="B13" s="722"/>
      <c r="C13" s="722"/>
      <c r="D13" s="353"/>
      <c r="E13" s="354">
        <v>128642</v>
      </c>
      <c r="F13" s="216">
        <v>127031</v>
      </c>
      <c r="G13" s="216">
        <v>125946</v>
      </c>
      <c r="H13" s="216">
        <v>128297</v>
      </c>
      <c r="I13" s="216">
        <v>164403</v>
      </c>
      <c r="J13" s="216">
        <v>167445</v>
      </c>
      <c r="K13" s="216">
        <v>163939</v>
      </c>
      <c r="L13" s="216">
        <v>198729</v>
      </c>
      <c r="M13" s="216">
        <v>243538</v>
      </c>
      <c r="N13" s="216">
        <v>196141</v>
      </c>
      <c r="O13" s="216">
        <v>200591</v>
      </c>
      <c r="P13" s="216">
        <v>199823</v>
      </c>
      <c r="Q13" s="216">
        <v>177552</v>
      </c>
      <c r="R13" s="216">
        <v>196578</v>
      </c>
      <c r="S13" s="216">
        <v>200888</v>
      </c>
      <c r="T13" s="216">
        <v>200450</v>
      </c>
      <c r="U13" s="216">
        <v>174761</v>
      </c>
      <c r="V13" s="216">
        <v>178266</v>
      </c>
      <c r="W13" s="216">
        <v>134919</v>
      </c>
      <c r="X13" s="216">
        <v>164067</v>
      </c>
      <c r="Y13" s="216">
        <v>141266</v>
      </c>
      <c r="Z13" s="216">
        <v>99295</v>
      </c>
      <c r="AA13" s="216">
        <v>42672</v>
      </c>
      <c r="AB13" s="437">
        <f t="shared" si="2"/>
        <v>3755239</v>
      </c>
    </row>
    <row r="14" spans="1:38" ht="12.75" hidden="1" customHeight="1">
      <c r="A14" s="717" t="s">
        <v>13</v>
      </c>
      <c r="B14" s="717"/>
      <c r="C14" s="717"/>
      <c r="D14" s="365"/>
      <c r="E14" s="354">
        <v>0</v>
      </c>
      <c r="F14" s="202">
        <v>0</v>
      </c>
      <c r="G14" s="202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2">
        <v>0</v>
      </c>
      <c r="N14" s="202">
        <v>0</v>
      </c>
      <c r="O14" s="202">
        <v>0</v>
      </c>
      <c r="P14" s="202">
        <v>0</v>
      </c>
      <c r="Q14" s="202">
        <v>0</v>
      </c>
      <c r="R14" s="202">
        <v>0</v>
      </c>
      <c r="S14" s="202">
        <v>0</v>
      </c>
      <c r="T14" s="202">
        <v>0</v>
      </c>
      <c r="U14" s="202">
        <v>0</v>
      </c>
      <c r="V14" s="202">
        <v>0</v>
      </c>
      <c r="W14" s="202">
        <v>0</v>
      </c>
      <c r="X14" s="202">
        <v>0</v>
      </c>
      <c r="Y14" s="202">
        <v>0</v>
      </c>
      <c r="Z14" s="202">
        <v>0</v>
      </c>
      <c r="AA14" s="202">
        <v>0</v>
      </c>
      <c r="AB14" s="437">
        <f t="shared" si="2"/>
        <v>0</v>
      </c>
    </row>
    <row r="15" spans="1:38" ht="12.75" customHeight="1">
      <c r="A15" s="723" t="s">
        <v>14</v>
      </c>
      <c r="B15" s="723"/>
      <c r="C15" s="723"/>
      <c r="D15" s="356"/>
      <c r="E15" s="357">
        <f t="shared" ref="E15:AA15" si="3">E13+E14</f>
        <v>128642</v>
      </c>
      <c r="F15" s="214">
        <f t="shared" si="3"/>
        <v>127031</v>
      </c>
      <c r="G15" s="214">
        <f t="shared" si="3"/>
        <v>125946</v>
      </c>
      <c r="H15" s="214">
        <f t="shared" si="3"/>
        <v>128297</v>
      </c>
      <c r="I15" s="214">
        <f t="shared" si="3"/>
        <v>164403</v>
      </c>
      <c r="J15" s="214">
        <f t="shared" si="3"/>
        <v>167445</v>
      </c>
      <c r="K15" s="214">
        <f t="shared" si="3"/>
        <v>163939</v>
      </c>
      <c r="L15" s="214">
        <f t="shared" si="3"/>
        <v>198729</v>
      </c>
      <c r="M15" s="214">
        <f t="shared" si="3"/>
        <v>243538</v>
      </c>
      <c r="N15" s="214">
        <f t="shared" si="3"/>
        <v>196141</v>
      </c>
      <c r="O15" s="214">
        <f t="shared" si="3"/>
        <v>200591</v>
      </c>
      <c r="P15" s="214">
        <f t="shared" si="3"/>
        <v>199823</v>
      </c>
      <c r="Q15" s="214">
        <f t="shared" si="3"/>
        <v>177552</v>
      </c>
      <c r="R15" s="214">
        <f t="shared" si="3"/>
        <v>196578</v>
      </c>
      <c r="S15" s="214">
        <f t="shared" si="3"/>
        <v>200888</v>
      </c>
      <c r="T15" s="214">
        <f t="shared" si="3"/>
        <v>200450</v>
      </c>
      <c r="U15" s="214">
        <f t="shared" si="3"/>
        <v>174761</v>
      </c>
      <c r="V15" s="214">
        <f t="shared" si="3"/>
        <v>178266</v>
      </c>
      <c r="W15" s="214">
        <f t="shared" si="3"/>
        <v>134919</v>
      </c>
      <c r="X15" s="214">
        <f t="shared" si="3"/>
        <v>164067</v>
      </c>
      <c r="Y15" s="214">
        <f t="shared" si="3"/>
        <v>141266</v>
      </c>
      <c r="Z15" s="214">
        <f t="shared" si="3"/>
        <v>99295</v>
      </c>
      <c r="AA15" s="214">
        <f t="shared" si="3"/>
        <v>42672</v>
      </c>
      <c r="AB15" s="440">
        <f t="shared" si="2"/>
        <v>3755239</v>
      </c>
    </row>
    <row r="16" spans="1:38" hidden="1">
      <c r="A16" s="724" t="s">
        <v>82</v>
      </c>
      <c r="B16" s="724"/>
      <c r="C16" s="724"/>
      <c r="D16" s="358"/>
      <c r="E16" s="359">
        <v>0</v>
      </c>
      <c r="F16" s="203">
        <v>0</v>
      </c>
      <c r="G16" s="203">
        <v>0</v>
      </c>
      <c r="H16" s="203">
        <f>F3*G16*12</f>
        <v>0</v>
      </c>
      <c r="I16" s="203">
        <v>0</v>
      </c>
      <c r="J16" s="203">
        <v>0</v>
      </c>
      <c r="K16" s="203">
        <v>0</v>
      </c>
      <c r="L16" s="203">
        <v>0</v>
      </c>
      <c r="M16" s="203">
        <v>0</v>
      </c>
      <c r="N16" s="203">
        <v>0</v>
      </c>
      <c r="O16" s="216">
        <v>0</v>
      </c>
      <c r="P16" s="203">
        <v>0</v>
      </c>
      <c r="Q16" s="203">
        <v>0</v>
      </c>
      <c r="R16" s="203">
        <v>0</v>
      </c>
      <c r="S16" s="203">
        <v>0</v>
      </c>
      <c r="T16" s="203">
        <v>0</v>
      </c>
      <c r="U16" s="203">
        <v>0</v>
      </c>
      <c r="V16" s="203">
        <v>0</v>
      </c>
      <c r="W16" s="203">
        <v>0</v>
      </c>
      <c r="X16" s="203">
        <v>0</v>
      </c>
      <c r="Y16" s="203">
        <v>0</v>
      </c>
      <c r="Z16" s="203">
        <v>0</v>
      </c>
      <c r="AA16" s="203">
        <v>0</v>
      </c>
      <c r="AB16" s="437">
        <f t="shared" si="2"/>
        <v>0</v>
      </c>
    </row>
    <row r="17" spans="1:32">
      <c r="A17" s="718" t="s">
        <v>177</v>
      </c>
      <c r="B17" s="718"/>
      <c r="C17" s="718"/>
      <c r="D17" s="195"/>
      <c r="E17" s="360"/>
      <c r="F17" s="204"/>
      <c r="G17" s="204"/>
      <c r="H17" s="204"/>
      <c r="I17" s="204"/>
      <c r="J17" s="204"/>
      <c r="K17" s="204"/>
      <c r="L17" s="204"/>
      <c r="M17" s="220"/>
      <c r="N17" s="220">
        <f>255269</f>
        <v>255269</v>
      </c>
      <c r="O17" s="220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440">
        <f t="shared" si="2"/>
        <v>255269</v>
      </c>
    </row>
    <row r="18" spans="1:32" hidden="1">
      <c r="A18" s="738" t="s">
        <v>70</v>
      </c>
      <c r="B18" s="738"/>
      <c r="C18" s="738"/>
      <c r="D18" s="194"/>
      <c r="E18" s="361">
        <v>0</v>
      </c>
      <c r="F18" s="205">
        <v>2</v>
      </c>
      <c r="G18" s="205">
        <v>0</v>
      </c>
      <c r="H18" s="205">
        <v>0</v>
      </c>
      <c r="I18" s="205">
        <v>0</v>
      </c>
      <c r="J18" s="205">
        <v>0</v>
      </c>
      <c r="K18" s="205">
        <v>0</v>
      </c>
      <c r="L18" s="205">
        <v>0</v>
      </c>
      <c r="M18" s="205">
        <v>0</v>
      </c>
      <c r="N18" s="219">
        <v>0</v>
      </c>
      <c r="O18" s="205">
        <v>0</v>
      </c>
      <c r="P18" s="205">
        <v>0</v>
      </c>
      <c r="Q18" s="205">
        <v>0</v>
      </c>
      <c r="R18" s="205">
        <v>0</v>
      </c>
      <c r="S18" s="205">
        <v>0</v>
      </c>
      <c r="T18" s="205">
        <v>0</v>
      </c>
      <c r="U18" s="205">
        <v>0</v>
      </c>
      <c r="V18" s="205">
        <v>0</v>
      </c>
      <c r="W18" s="205">
        <v>0</v>
      </c>
      <c r="X18" s="205">
        <v>0</v>
      </c>
      <c r="Y18" s="205">
        <v>0</v>
      </c>
      <c r="Z18" s="205">
        <v>0</v>
      </c>
      <c r="AA18" s="205">
        <v>0</v>
      </c>
      <c r="AB18" s="437">
        <f t="shared" si="2"/>
        <v>2</v>
      </c>
    </row>
    <row r="19" spans="1:32">
      <c r="A19" s="712" t="s">
        <v>104</v>
      </c>
      <c r="B19" s="712"/>
      <c r="C19" s="712"/>
      <c r="D19" s="712"/>
      <c r="E19" s="712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37"/>
    </row>
    <row r="20" spans="1:32">
      <c r="A20" s="695" t="s">
        <v>105</v>
      </c>
      <c r="B20" s="695"/>
      <c r="C20" s="695"/>
      <c r="D20" s="362"/>
      <c r="E20" s="357">
        <v>1267793</v>
      </c>
      <c r="F20" s="214">
        <v>1249095</v>
      </c>
      <c r="G20" s="214">
        <v>1235893</v>
      </c>
      <c r="H20" s="214">
        <v>1220706</v>
      </c>
      <c r="I20" s="214">
        <v>1420601</v>
      </c>
      <c r="J20" s="214">
        <v>1642921</v>
      </c>
      <c r="K20" s="214">
        <v>1358872</v>
      </c>
      <c r="L20" s="214">
        <v>1958831</v>
      </c>
      <c r="M20" s="214">
        <v>1946097</v>
      </c>
      <c r="N20" s="214">
        <v>1898031</v>
      </c>
      <c r="O20" s="214">
        <v>1643694</v>
      </c>
      <c r="P20" s="214">
        <v>1859100</v>
      </c>
      <c r="Q20" s="214">
        <v>1952085</v>
      </c>
      <c r="R20" s="214">
        <v>1840752</v>
      </c>
      <c r="S20" s="214">
        <v>1889756</v>
      </c>
      <c r="T20" s="214">
        <v>1548602</v>
      </c>
      <c r="U20" s="214">
        <v>1948671</v>
      </c>
      <c r="V20" s="214">
        <v>1966107</v>
      </c>
      <c r="W20" s="214">
        <v>1072478</v>
      </c>
      <c r="X20" s="214">
        <v>1639710</v>
      </c>
      <c r="Y20" s="214">
        <v>1603993</v>
      </c>
      <c r="Z20" s="214">
        <v>1090138</v>
      </c>
      <c r="AA20" s="214">
        <v>311340</v>
      </c>
      <c r="AB20" s="437">
        <f t="shared" si="2"/>
        <v>35565266</v>
      </c>
    </row>
    <row r="21" spans="1:32">
      <c r="A21" s="695" t="s">
        <v>106</v>
      </c>
      <c r="B21" s="695"/>
      <c r="C21" s="695"/>
      <c r="D21" s="362"/>
      <c r="E21" s="357">
        <v>520908</v>
      </c>
      <c r="F21" s="214">
        <v>496644</v>
      </c>
      <c r="G21" s="214">
        <v>557733</v>
      </c>
      <c r="H21" s="214">
        <v>567754</v>
      </c>
      <c r="I21" s="214">
        <v>612840</v>
      </c>
      <c r="J21" s="214">
        <v>765364</v>
      </c>
      <c r="K21" s="214">
        <v>537055</v>
      </c>
      <c r="L21" s="214">
        <v>737362</v>
      </c>
      <c r="M21" s="214">
        <v>727398</v>
      </c>
      <c r="N21" s="214">
        <v>705634</v>
      </c>
      <c r="O21" s="214">
        <v>700366</v>
      </c>
      <c r="P21" s="214">
        <v>691632</v>
      </c>
      <c r="Q21" s="214">
        <v>743588</v>
      </c>
      <c r="R21" s="214">
        <v>714487</v>
      </c>
      <c r="S21" s="214">
        <v>647942</v>
      </c>
      <c r="T21" s="214">
        <v>733614</v>
      </c>
      <c r="U21" s="214">
        <v>662045</v>
      </c>
      <c r="V21" s="214">
        <v>671306</v>
      </c>
      <c r="W21" s="214">
        <v>507612</v>
      </c>
      <c r="X21" s="214">
        <v>616625</v>
      </c>
      <c r="Y21" s="214">
        <v>587245</v>
      </c>
      <c r="Z21" s="214">
        <v>319790</v>
      </c>
      <c r="AA21" s="214">
        <v>215753</v>
      </c>
      <c r="AB21" s="437">
        <f t="shared" si="2"/>
        <v>14040697</v>
      </c>
    </row>
    <row r="22" spans="1:32">
      <c r="A22" s="695" t="s">
        <v>107</v>
      </c>
      <c r="B22" s="695"/>
      <c r="C22" s="695"/>
      <c r="D22" s="362"/>
      <c r="E22" s="357">
        <v>84612</v>
      </c>
      <c r="F22" s="214">
        <v>81884</v>
      </c>
      <c r="G22" s="214">
        <v>90387</v>
      </c>
      <c r="H22" s="214">
        <v>92108</v>
      </c>
      <c r="I22" s="214">
        <v>101142</v>
      </c>
      <c r="J22" s="214">
        <v>128603</v>
      </c>
      <c r="K22" s="214">
        <v>85534</v>
      </c>
      <c r="L22" s="214">
        <v>120881</v>
      </c>
      <c r="M22" s="214">
        <v>119046</v>
      </c>
      <c r="N22" s="214">
        <v>117781</v>
      </c>
      <c r="O22" s="214">
        <v>116015</v>
      </c>
      <c r="P22" s="214">
        <v>112899</v>
      </c>
      <c r="Q22" s="214">
        <v>122934</v>
      </c>
      <c r="R22" s="214">
        <v>117626</v>
      </c>
      <c r="S22" s="214">
        <v>105052</v>
      </c>
      <c r="T22" s="214">
        <v>122661</v>
      </c>
      <c r="U22" s="214">
        <v>107237</v>
      </c>
      <c r="V22" s="214">
        <v>106301</v>
      </c>
      <c r="W22" s="214">
        <v>83888</v>
      </c>
      <c r="X22" s="214">
        <v>100700</v>
      </c>
      <c r="Y22" s="214">
        <v>95740</v>
      </c>
      <c r="Z22" s="214">
        <v>50949</v>
      </c>
      <c r="AA22" s="214">
        <v>34077</v>
      </c>
      <c r="AB22" s="437">
        <f t="shared" si="2"/>
        <v>2298057</v>
      </c>
    </row>
    <row r="23" spans="1:32">
      <c r="A23" s="695" t="s">
        <v>108</v>
      </c>
      <c r="B23" s="695"/>
      <c r="C23" s="695"/>
      <c r="D23" s="362"/>
      <c r="E23" s="357">
        <v>153188</v>
      </c>
      <c r="F23" s="214">
        <v>148231</v>
      </c>
      <c r="G23" s="214">
        <v>164471</v>
      </c>
      <c r="H23" s="214">
        <v>167865</v>
      </c>
      <c r="I23" s="214">
        <v>183273</v>
      </c>
      <c r="J23" s="214">
        <v>232357</v>
      </c>
      <c r="K23" s="214">
        <v>156303</v>
      </c>
      <c r="L23" s="214">
        <v>219219</v>
      </c>
      <c r="M23" s="214">
        <v>216500</v>
      </c>
      <c r="N23" s="214">
        <v>213237</v>
      </c>
      <c r="O23" s="214">
        <v>214074</v>
      </c>
      <c r="P23" s="214">
        <v>205213</v>
      </c>
      <c r="Q23" s="214">
        <v>222184</v>
      </c>
      <c r="R23" s="214">
        <v>214929</v>
      </c>
      <c r="S23" s="214">
        <v>190972</v>
      </c>
      <c r="T23" s="214">
        <v>224233</v>
      </c>
      <c r="U23" s="214">
        <v>195840</v>
      </c>
      <c r="V23" s="214">
        <v>195725</v>
      </c>
      <c r="W23" s="214">
        <v>152029</v>
      </c>
      <c r="X23" s="214">
        <v>183005</v>
      </c>
      <c r="Y23" s="214">
        <v>174187</v>
      </c>
      <c r="Z23" s="214">
        <v>93401</v>
      </c>
      <c r="AA23" s="214">
        <v>63068</v>
      </c>
      <c r="AB23" s="437">
        <f t="shared" si="2"/>
        <v>4183504</v>
      </c>
    </row>
    <row r="24" spans="1:32">
      <c r="A24" s="695" t="s">
        <v>109</v>
      </c>
      <c r="B24" s="695"/>
      <c r="C24" s="695"/>
      <c r="D24" s="362"/>
      <c r="E24" s="410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14">
        <v>113498</v>
      </c>
      <c r="AA24" s="214">
        <v>56516</v>
      </c>
      <c r="AB24" s="437">
        <f t="shared" si="2"/>
        <v>170014</v>
      </c>
    </row>
    <row r="25" spans="1:32">
      <c r="A25" s="695" t="s">
        <v>183</v>
      </c>
      <c r="B25" s="695"/>
      <c r="C25" s="695"/>
      <c r="D25" s="362"/>
      <c r="E25" s="410"/>
      <c r="F25" s="214">
        <v>2387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437">
        <f t="shared" si="2"/>
        <v>2387</v>
      </c>
    </row>
    <row r="26" spans="1:32">
      <c r="A26" s="696" t="s">
        <v>111</v>
      </c>
      <c r="B26" s="696"/>
      <c r="C26" s="696"/>
      <c r="D26" s="363"/>
      <c r="E26" s="354">
        <f t="shared" ref="E26:AA26" si="4">SUM(E20:E25)</f>
        <v>2026501</v>
      </c>
      <c r="F26" s="216">
        <f t="shared" si="4"/>
        <v>1978241</v>
      </c>
      <c r="G26" s="216">
        <f t="shared" si="4"/>
        <v>2048484</v>
      </c>
      <c r="H26" s="216">
        <f t="shared" si="4"/>
        <v>2048433</v>
      </c>
      <c r="I26" s="216">
        <f t="shared" si="4"/>
        <v>2317856</v>
      </c>
      <c r="J26" s="216">
        <f t="shared" si="4"/>
        <v>2769245</v>
      </c>
      <c r="K26" s="216">
        <f t="shared" si="4"/>
        <v>2137764</v>
      </c>
      <c r="L26" s="216">
        <f t="shared" si="4"/>
        <v>3036293</v>
      </c>
      <c r="M26" s="216">
        <f t="shared" si="4"/>
        <v>3009041</v>
      </c>
      <c r="N26" s="216">
        <f t="shared" si="4"/>
        <v>2934683</v>
      </c>
      <c r="O26" s="216">
        <f t="shared" si="4"/>
        <v>2674149</v>
      </c>
      <c r="P26" s="216">
        <f t="shared" si="4"/>
        <v>2868844</v>
      </c>
      <c r="Q26" s="216">
        <f t="shared" si="4"/>
        <v>3040791</v>
      </c>
      <c r="R26" s="216">
        <f t="shared" si="4"/>
        <v>2887794</v>
      </c>
      <c r="S26" s="216">
        <f t="shared" si="4"/>
        <v>2833722</v>
      </c>
      <c r="T26" s="216">
        <f t="shared" si="4"/>
        <v>2629110</v>
      </c>
      <c r="U26" s="216">
        <f t="shared" si="4"/>
        <v>2913793</v>
      </c>
      <c r="V26" s="216">
        <f t="shared" si="4"/>
        <v>2939439</v>
      </c>
      <c r="W26" s="216">
        <f t="shared" si="4"/>
        <v>1816007</v>
      </c>
      <c r="X26" s="216">
        <f t="shared" si="4"/>
        <v>2540040</v>
      </c>
      <c r="Y26" s="216">
        <f t="shared" si="4"/>
        <v>2461165</v>
      </c>
      <c r="Z26" s="216">
        <f t="shared" si="4"/>
        <v>1667776</v>
      </c>
      <c r="AA26" s="216">
        <f t="shared" si="4"/>
        <v>680754</v>
      </c>
      <c r="AB26" s="440">
        <f t="shared" si="2"/>
        <v>56259925</v>
      </c>
    </row>
    <row r="27" spans="1:32" hidden="1">
      <c r="A27" s="687"/>
      <c r="B27" s="688"/>
      <c r="C27" s="689"/>
      <c r="D27" s="421"/>
      <c r="E27" s="422"/>
      <c r="F27" s="423"/>
      <c r="G27" s="423"/>
      <c r="H27" s="423"/>
      <c r="I27" s="423"/>
      <c r="J27" s="423"/>
      <c r="K27" s="423"/>
      <c r="L27" s="423"/>
      <c r="M27" s="423"/>
      <c r="N27" s="423"/>
      <c r="O27" s="423"/>
      <c r="P27" s="423"/>
      <c r="Q27" s="423"/>
      <c r="R27" s="423"/>
      <c r="S27" s="423"/>
      <c r="T27" s="423"/>
      <c r="U27" s="423"/>
      <c r="V27" s="423"/>
      <c r="W27" s="423"/>
      <c r="X27" s="423"/>
      <c r="Y27" s="423"/>
      <c r="Z27" s="423"/>
      <c r="AA27" s="423"/>
      <c r="AB27" s="437"/>
    </row>
    <row r="28" spans="1:32">
      <c r="A28" s="714" t="s">
        <v>44</v>
      </c>
      <c r="B28" s="714"/>
      <c r="C28" s="714"/>
      <c r="D28" s="196"/>
      <c r="E28" s="715">
        <f t="shared" ref="E28:AA28" si="5">E33+E37+E38+E39+E40+E48</f>
        <v>1907727</v>
      </c>
      <c r="F28" s="690">
        <f t="shared" si="5"/>
        <v>1836246</v>
      </c>
      <c r="G28" s="690">
        <f t="shared" si="5"/>
        <v>1938565</v>
      </c>
      <c r="H28" s="690">
        <f t="shared" si="5"/>
        <v>1996416</v>
      </c>
      <c r="I28" s="690">
        <f t="shared" si="5"/>
        <v>2244706</v>
      </c>
      <c r="J28" s="690">
        <f t="shared" si="5"/>
        <v>2577659</v>
      </c>
      <c r="K28" s="690">
        <f t="shared" si="5"/>
        <v>2199079</v>
      </c>
      <c r="L28" s="690">
        <f t="shared" si="5"/>
        <v>3064085</v>
      </c>
      <c r="M28" s="690">
        <f t="shared" si="5"/>
        <v>3651839</v>
      </c>
      <c r="N28" s="690">
        <f t="shared" si="5"/>
        <v>3404973</v>
      </c>
      <c r="O28" s="690">
        <f t="shared" si="5"/>
        <v>3121838</v>
      </c>
      <c r="P28" s="690">
        <f t="shared" si="5"/>
        <v>2941297</v>
      </c>
      <c r="Q28" s="690">
        <f t="shared" si="5"/>
        <v>3026937</v>
      </c>
      <c r="R28" s="690">
        <f t="shared" si="5"/>
        <v>2945856</v>
      </c>
      <c r="S28" s="690">
        <f t="shared" si="5"/>
        <v>2997776</v>
      </c>
      <c r="T28" s="690">
        <f t="shared" si="5"/>
        <v>2846204</v>
      </c>
      <c r="U28" s="690">
        <f t="shared" si="5"/>
        <v>2924764</v>
      </c>
      <c r="V28" s="690">
        <f t="shared" si="5"/>
        <v>3133357</v>
      </c>
      <c r="W28" s="690">
        <f t="shared" si="5"/>
        <v>1889870</v>
      </c>
      <c r="X28" s="690">
        <f t="shared" si="5"/>
        <v>2483924</v>
      </c>
      <c r="Y28" s="690">
        <f t="shared" si="5"/>
        <v>2207890</v>
      </c>
      <c r="Z28" s="690">
        <f t="shared" si="5"/>
        <v>1419101</v>
      </c>
      <c r="AA28" s="690">
        <f t="shared" si="5"/>
        <v>578565</v>
      </c>
      <c r="AB28" s="682">
        <f t="shared" si="2"/>
        <v>57338674</v>
      </c>
      <c r="AD28" s="442">
        <f>[1]Общий!$S$65</f>
        <v>56400643.399999999</v>
      </c>
      <c r="AE28" s="444">
        <f>AB28-AD28</f>
        <v>938030.60000000149</v>
      </c>
      <c r="AF28" s="443"/>
    </row>
    <row r="29" spans="1:32" ht="5.25" customHeight="1">
      <c r="A29" s="714"/>
      <c r="B29" s="714"/>
      <c r="C29" s="714"/>
      <c r="D29" s="196"/>
      <c r="E29" s="715"/>
      <c r="F29" s="690"/>
      <c r="G29" s="690"/>
      <c r="H29" s="690"/>
      <c r="I29" s="690"/>
      <c r="J29" s="690"/>
      <c r="K29" s="690"/>
      <c r="L29" s="690"/>
      <c r="M29" s="690"/>
      <c r="N29" s="690"/>
      <c r="O29" s="690"/>
      <c r="P29" s="690"/>
      <c r="Q29" s="690"/>
      <c r="R29" s="690"/>
      <c r="S29" s="690"/>
      <c r="T29" s="690"/>
      <c r="U29" s="690"/>
      <c r="V29" s="690"/>
      <c r="W29" s="690"/>
      <c r="X29" s="690"/>
      <c r="Y29" s="690"/>
      <c r="Z29" s="690"/>
      <c r="AA29" s="690"/>
      <c r="AB29" s="683"/>
    </row>
    <row r="30" spans="1:32">
      <c r="A30" s="706" t="s">
        <v>16</v>
      </c>
      <c r="B30" s="706"/>
      <c r="C30" s="706"/>
      <c r="D30" s="706"/>
      <c r="E30" s="70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37"/>
    </row>
    <row r="31" spans="1:32" ht="12.75" hidden="1" customHeight="1">
      <c r="A31" s="737" t="s">
        <v>45</v>
      </c>
      <c r="B31" s="737"/>
      <c r="C31" s="737"/>
      <c r="D31" s="353"/>
      <c r="E31" s="354">
        <v>227133</v>
      </c>
      <c r="F31" s="216">
        <v>224161</v>
      </c>
      <c r="G31" s="216">
        <v>218684</v>
      </c>
      <c r="H31" s="216">
        <v>235175</v>
      </c>
      <c r="I31" s="216">
        <v>313904</v>
      </c>
      <c r="J31" s="216">
        <v>300156</v>
      </c>
      <c r="K31" s="216">
        <v>307144</v>
      </c>
      <c r="L31" s="216">
        <v>488589</v>
      </c>
      <c r="M31" s="216">
        <v>553090</v>
      </c>
      <c r="N31" s="216">
        <v>487914</v>
      </c>
      <c r="O31" s="216">
        <v>525079</v>
      </c>
      <c r="P31" s="216">
        <v>504763</v>
      </c>
      <c r="Q31" s="216">
        <v>501279</v>
      </c>
      <c r="R31" s="216">
        <v>490872</v>
      </c>
      <c r="S31" s="216">
        <v>523446</v>
      </c>
      <c r="T31" s="216">
        <v>535934</v>
      </c>
      <c r="U31" s="216">
        <v>489604</v>
      </c>
      <c r="V31" s="216">
        <v>528193</v>
      </c>
      <c r="W31" s="216">
        <v>256540</v>
      </c>
      <c r="X31" s="216">
        <v>305499</v>
      </c>
      <c r="Y31" s="216">
        <v>285454</v>
      </c>
      <c r="Z31" s="216">
        <v>192026</v>
      </c>
      <c r="AA31" s="216">
        <v>78795</v>
      </c>
      <c r="AB31" s="437">
        <f t="shared" si="2"/>
        <v>8573434</v>
      </c>
    </row>
    <row r="32" spans="1:32" ht="12.75" hidden="1" customHeight="1">
      <c r="A32" s="717" t="s">
        <v>46</v>
      </c>
      <c r="B32" s="717"/>
      <c r="C32" s="717"/>
      <c r="D32" s="424"/>
      <c r="E32" s="364">
        <f t="shared" ref="E32:AA32" si="6">E10</f>
        <v>0</v>
      </c>
      <c r="F32" s="201">
        <f t="shared" si="6"/>
        <v>0</v>
      </c>
      <c r="G32" s="201">
        <f t="shared" si="6"/>
        <v>0</v>
      </c>
      <c r="H32" s="201">
        <f t="shared" si="6"/>
        <v>0</v>
      </c>
      <c r="I32" s="201">
        <f t="shared" si="6"/>
        <v>0</v>
      </c>
      <c r="J32" s="201">
        <f t="shared" si="6"/>
        <v>0</v>
      </c>
      <c r="K32" s="201">
        <f t="shared" si="6"/>
        <v>0</v>
      </c>
      <c r="L32" s="201">
        <f t="shared" si="6"/>
        <v>0</v>
      </c>
      <c r="M32" s="201">
        <f t="shared" si="6"/>
        <v>0</v>
      </c>
      <c r="N32" s="201">
        <f t="shared" si="6"/>
        <v>0</v>
      </c>
      <c r="O32" s="201">
        <f t="shared" si="6"/>
        <v>0</v>
      </c>
      <c r="P32" s="201">
        <f t="shared" si="6"/>
        <v>0</v>
      </c>
      <c r="Q32" s="201">
        <f t="shared" si="6"/>
        <v>0</v>
      </c>
      <c r="R32" s="201">
        <f t="shared" si="6"/>
        <v>0</v>
      </c>
      <c r="S32" s="201">
        <f t="shared" si="6"/>
        <v>0</v>
      </c>
      <c r="T32" s="201">
        <f t="shared" si="6"/>
        <v>0</v>
      </c>
      <c r="U32" s="201">
        <f t="shared" si="6"/>
        <v>0</v>
      </c>
      <c r="V32" s="201">
        <f t="shared" si="6"/>
        <v>0</v>
      </c>
      <c r="W32" s="201">
        <f t="shared" si="6"/>
        <v>0</v>
      </c>
      <c r="X32" s="201">
        <f t="shared" si="6"/>
        <v>0</v>
      </c>
      <c r="Y32" s="201">
        <f t="shared" si="6"/>
        <v>0</v>
      </c>
      <c r="Z32" s="201">
        <f t="shared" si="6"/>
        <v>0</v>
      </c>
      <c r="AA32" s="201">
        <f t="shared" si="6"/>
        <v>0</v>
      </c>
      <c r="AB32" s="437">
        <f t="shared" si="2"/>
        <v>0</v>
      </c>
    </row>
    <row r="33" spans="1:31" ht="12.75" customHeight="1">
      <c r="A33" s="723" t="s">
        <v>47</v>
      </c>
      <c r="B33" s="723"/>
      <c r="C33" s="723"/>
      <c r="D33" s="356"/>
      <c r="E33" s="357">
        <f t="shared" ref="E33:AA33" si="7">E31+E32</f>
        <v>227133</v>
      </c>
      <c r="F33" s="214">
        <f t="shared" si="7"/>
        <v>224161</v>
      </c>
      <c r="G33" s="214">
        <f t="shared" si="7"/>
        <v>218684</v>
      </c>
      <c r="H33" s="214">
        <f t="shared" si="7"/>
        <v>235175</v>
      </c>
      <c r="I33" s="214">
        <f t="shared" si="7"/>
        <v>313904</v>
      </c>
      <c r="J33" s="214">
        <f t="shared" si="7"/>
        <v>300156</v>
      </c>
      <c r="K33" s="214">
        <f t="shared" si="7"/>
        <v>307144</v>
      </c>
      <c r="L33" s="214">
        <f t="shared" si="7"/>
        <v>488589</v>
      </c>
      <c r="M33" s="214">
        <f t="shared" si="7"/>
        <v>553090</v>
      </c>
      <c r="N33" s="214">
        <f t="shared" si="7"/>
        <v>487914</v>
      </c>
      <c r="O33" s="214">
        <f t="shared" si="7"/>
        <v>525079</v>
      </c>
      <c r="P33" s="214">
        <f t="shared" si="7"/>
        <v>504763</v>
      </c>
      <c r="Q33" s="214">
        <f t="shared" si="7"/>
        <v>501279</v>
      </c>
      <c r="R33" s="214">
        <f t="shared" si="7"/>
        <v>490872</v>
      </c>
      <c r="S33" s="214">
        <f t="shared" si="7"/>
        <v>523446</v>
      </c>
      <c r="T33" s="214">
        <f t="shared" si="7"/>
        <v>535934</v>
      </c>
      <c r="U33" s="214">
        <f t="shared" si="7"/>
        <v>489604</v>
      </c>
      <c r="V33" s="214">
        <f t="shared" si="7"/>
        <v>528193</v>
      </c>
      <c r="W33" s="214">
        <f t="shared" si="7"/>
        <v>256540</v>
      </c>
      <c r="X33" s="214">
        <f t="shared" si="7"/>
        <v>305499</v>
      </c>
      <c r="Y33" s="214">
        <f t="shared" si="7"/>
        <v>285454</v>
      </c>
      <c r="Z33" s="214">
        <f t="shared" si="7"/>
        <v>192026</v>
      </c>
      <c r="AA33" s="214">
        <f t="shared" si="7"/>
        <v>78795</v>
      </c>
      <c r="AB33" s="440">
        <f t="shared" si="2"/>
        <v>8573434</v>
      </c>
      <c r="AE33" s="441" t="e">
        <f>#REF!+#REF!</f>
        <v>#REF!</v>
      </c>
    </row>
    <row r="34" spans="1:31">
      <c r="A34" s="706" t="s">
        <v>35</v>
      </c>
      <c r="B34" s="706"/>
      <c r="C34" s="706"/>
      <c r="D34" s="706"/>
      <c r="E34" s="70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16"/>
      <c r="AB34" s="437"/>
    </row>
    <row r="35" spans="1:31" ht="12.75" hidden="1" customHeight="1">
      <c r="A35" s="722" t="s">
        <v>48</v>
      </c>
      <c r="B35" s="722"/>
      <c r="C35" s="722"/>
      <c r="D35" s="353"/>
      <c r="E35" s="354">
        <v>111497</v>
      </c>
      <c r="F35" s="216">
        <v>110038</v>
      </c>
      <c r="G35" s="216">
        <v>107349</v>
      </c>
      <c r="H35" s="216">
        <v>115410</v>
      </c>
      <c r="I35" s="216">
        <v>154091</v>
      </c>
      <c r="J35" s="216">
        <v>147343</v>
      </c>
      <c r="K35" s="216">
        <v>150773</v>
      </c>
      <c r="L35" s="216">
        <v>166715</v>
      </c>
      <c r="M35" s="216">
        <v>217464</v>
      </c>
      <c r="N35" s="216">
        <v>168483</v>
      </c>
      <c r="O35" s="216">
        <v>179143</v>
      </c>
      <c r="P35" s="216">
        <v>172218</v>
      </c>
      <c r="Q35" s="216">
        <v>147484</v>
      </c>
      <c r="R35" s="216">
        <v>167552</v>
      </c>
      <c r="S35" s="216">
        <v>178609</v>
      </c>
      <c r="T35" s="216">
        <v>179708</v>
      </c>
      <c r="U35" s="216">
        <v>142217</v>
      </c>
      <c r="V35" s="216">
        <v>155402</v>
      </c>
      <c r="W35" s="216">
        <v>125932</v>
      </c>
      <c r="X35" s="216">
        <v>149134</v>
      </c>
      <c r="Y35" s="216">
        <v>113000</v>
      </c>
      <c r="Z35" s="216">
        <v>72219</v>
      </c>
      <c r="AA35" s="216">
        <v>33124</v>
      </c>
      <c r="AB35" s="437">
        <f t="shared" si="2"/>
        <v>3264905</v>
      </c>
    </row>
    <row r="36" spans="1:31" ht="12.75" hidden="1" customHeight="1">
      <c r="A36" s="717" t="s">
        <v>49</v>
      </c>
      <c r="B36" s="717"/>
      <c r="C36" s="717"/>
      <c r="D36" s="365"/>
      <c r="E36" s="355">
        <f t="shared" ref="E36:AA36" si="8">E14</f>
        <v>0</v>
      </c>
      <c r="F36" s="202">
        <f t="shared" si="8"/>
        <v>0</v>
      </c>
      <c r="G36" s="202">
        <f t="shared" si="8"/>
        <v>0</v>
      </c>
      <c r="H36" s="202">
        <f t="shared" si="8"/>
        <v>0</v>
      </c>
      <c r="I36" s="202">
        <f t="shared" si="8"/>
        <v>0</v>
      </c>
      <c r="J36" s="202">
        <f t="shared" si="8"/>
        <v>0</v>
      </c>
      <c r="K36" s="202">
        <f t="shared" si="8"/>
        <v>0</v>
      </c>
      <c r="L36" s="202">
        <f t="shared" si="8"/>
        <v>0</v>
      </c>
      <c r="M36" s="202">
        <f t="shared" si="8"/>
        <v>0</v>
      </c>
      <c r="N36" s="202">
        <f t="shared" si="8"/>
        <v>0</v>
      </c>
      <c r="O36" s="202">
        <f t="shared" si="8"/>
        <v>0</v>
      </c>
      <c r="P36" s="202">
        <f t="shared" si="8"/>
        <v>0</v>
      </c>
      <c r="Q36" s="202">
        <f t="shared" si="8"/>
        <v>0</v>
      </c>
      <c r="R36" s="202">
        <f t="shared" si="8"/>
        <v>0</v>
      </c>
      <c r="S36" s="202">
        <f t="shared" si="8"/>
        <v>0</v>
      </c>
      <c r="T36" s="202">
        <f t="shared" si="8"/>
        <v>0</v>
      </c>
      <c r="U36" s="202">
        <f t="shared" si="8"/>
        <v>0</v>
      </c>
      <c r="V36" s="202">
        <f t="shared" si="8"/>
        <v>0</v>
      </c>
      <c r="W36" s="202">
        <f t="shared" si="8"/>
        <v>0</v>
      </c>
      <c r="X36" s="202">
        <f t="shared" si="8"/>
        <v>0</v>
      </c>
      <c r="Y36" s="202">
        <f t="shared" si="8"/>
        <v>0</v>
      </c>
      <c r="Z36" s="202">
        <f t="shared" si="8"/>
        <v>0</v>
      </c>
      <c r="AA36" s="202">
        <f t="shared" si="8"/>
        <v>0</v>
      </c>
      <c r="AB36" s="437">
        <f t="shared" si="2"/>
        <v>0</v>
      </c>
    </row>
    <row r="37" spans="1:31" ht="12.75" customHeight="1">
      <c r="A37" s="723" t="s">
        <v>50</v>
      </c>
      <c r="B37" s="723"/>
      <c r="C37" s="723"/>
      <c r="D37" s="356"/>
      <c r="E37" s="357">
        <f t="shared" ref="E37:AA37" si="9">E35+E36</f>
        <v>111497</v>
      </c>
      <c r="F37" s="214">
        <f t="shared" si="9"/>
        <v>110038</v>
      </c>
      <c r="G37" s="214">
        <f t="shared" si="9"/>
        <v>107349</v>
      </c>
      <c r="H37" s="214">
        <f t="shared" si="9"/>
        <v>115410</v>
      </c>
      <c r="I37" s="214">
        <f t="shared" si="9"/>
        <v>154091</v>
      </c>
      <c r="J37" s="214">
        <f t="shared" si="9"/>
        <v>147343</v>
      </c>
      <c r="K37" s="214">
        <f t="shared" si="9"/>
        <v>150773</v>
      </c>
      <c r="L37" s="214">
        <f t="shared" si="9"/>
        <v>166715</v>
      </c>
      <c r="M37" s="214">
        <f t="shared" si="9"/>
        <v>217464</v>
      </c>
      <c r="N37" s="214">
        <f t="shared" si="9"/>
        <v>168483</v>
      </c>
      <c r="O37" s="214">
        <f t="shared" si="9"/>
        <v>179143</v>
      </c>
      <c r="P37" s="214">
        <f t="shared" si="9"/>
        <v>172218</v>
      </c>
      <c r="Q37" s="214">
        <f t="shared" si="9"/>
        <v>147484</v>
      </c>
      <c r="R37" s="214">
        <f t="shared" si="9"/>
        <v>167552</v>
      </c>
      <c r="S37" s="214">
        <f t="shared" si="9"/>
        <v>178609</v>
      </c>
      <c r="T37" s="214">
        <f t="shared" si="9"/>
        <v>179708</v>
      </c>
      <c r="U37" s="214">
        <f t="shared" si="9"/>
        <v>142217</v>
      </c>
      <c r="V37" s="214">
        <f t="shared" si="9"/>
        <v>155402</v>
      </c>
      <c r="W37" s="214">
        <f t="shared" si="9"/>
        <v>125932</v>
      </c>
      <c r="X37" s="214">
        <f t="shared" si="9"/>
        <v>149134</v>
      </c>
      <c r="Y37" s="214">
        <f t="shared" si="9"/>
        <v>113000</v>
      </c>
      <c r="Z37" s="214">
        <f t="shared" si="9"/>
        <v>72219</v>
      </c>
      <c r="AA37" s="214">
        <f t="shared" si="9"/>
        <v>33124</v>
      </c>
      <c r="AB37" s="440">
        <f t="shared" si="2"/>
        <v>3264905</v>
      </c>
    </row>
    <row r="38" spans="1:31" hidden="1">
      <c r="A38" s="724" t="s">
        <v>83</v>
      </c>
      <c r="B38" s="724"/>
      <c r="C38" s="724"/>
      <c r="D38" s="358"/>
      <c r="E38" s="359">
        <v>0</v>
      </c>
      <c r="F38" s="203">
        <v>0</v>
      </c>
      <c r="G38" s="203">
        <v>0</v>
      </c>
      <c r="H38" s="203">
        <v>0</v>
      </c>
      <c r="I38" s="203">
        <v>0</v>
      </c>
      <c r="J38" s="203">
        <v>0</v>
      </c>
      <c r="K38" s="203">
        <v>0</v>
      </c>
      <c r="L38" s="203">
        <v>0</v>
      </c>
      <c r="M38" s="203">
        <v>0</v>
      </c>
      <c r="N38" s="216">
        <v>0</v>
      </c>
      <c r="O38" s="203">
        <v>0</v>
      </c>
      <c r="P38" s="203">
        <v>0</v>
      </c>
      <c r="Q38" s="203">
        <v>0</v>
      </c>
      <c r="R38" s="203">
        <v>0</v>
      </c>
      <c r="S38" s="203">
        <v>0</v>
      </c>
      <c r="T38" s="203">
        <v>0</v>
      </c>
      <c r="U38" s="203">
        <v>0</v>
      </c>
      <c r="V38" s="203">
        <v>0</v>
      </c>
      <c r="W38" s="203">
        <v>0</v>
      </c>
      <c r="X38" s="203">
        <v>0</v>
      </c>
      <c r="Y38" s="203">
        <v>0</v>
      </c>
      <c r="Z38" s="203">
        <v>0</v>
      </c>
      <c r="AA38" s="203">
        <v>0</v>
      </c>
      <c r="AB38" s="437"/>
    </row>
    <row r="39" spans="1:31" ht="12.75" customHeight="1">
      <c r="A39" s="710" t="s">
        <v>182</v>
      </c>
      <c r="B39" s="710"/>
      <c r="C39" s="710"/>
      <c r="D39" s="356"/>
      <c r="E39" s="360">
        <v>0</v>
      </c>
      <c r="F39" s="204">
        <v>0</v>
      </c>
      <c r="G39" s="204">
        <v>0</v>
      </c>
      <c r="H39" s="204">
        <v>0</v>
      </c>
      <c r="I39" s="204">
        <v>0</v>
      </c>
      <c r="J39" s="204">
        <v>0</v>
      </c>
      <c r="K39" s="204">
        <v>0</v>
      </c>
      <c r="L39" s="204">
        <v>0</v>
      </c>
      <c r="M39" s="220">
        <f>20000*27</f>
        <v>540000</v>
      </c>
      <c r="N39" s="214">
        <f>12000*27</f>
        <v>324000</v>
      </c>
      <c r="O39" s="220">
        <f>9150*27</f>
        <v>247050</v>
      </c>
      <c r="P39" s="204">
        <v>0</v>
      </c>
      <c r="Q39" s="204">
        <v>0</v>
      </c>
      <c r="R39" s="204">
        <v>0</v>
      </c>
      <c r="S39" s="204">
        <v>0</v>
      </c>
      <c r="T39" s="204">
        <v>0</v>
      </c>
      <c r="U39" s="204">
        <v>0</v>
      </c>
      <c r="V39" s="204">
        <v>0</v>
      </c>
      <c r="W39" s="204">
        <v>0</v>
      </c>
      <c r="X39" s="204">
        <v>0</v>
      </c>
      <c r="Y39" s="204">
        <v>0</v>
      </c>
      <c r="Z39" s="204">
        <v>0</v>
      </c>
      <c r="AA39" s="204">
        <v>0</v>
      </c>
      <c r="AB39" s="437">
        <f t="shared" si="2"/>
        <v>1111050</v>
      </c>
    </row>
    <row r="40" spans="1:31" ht="12.75" customHeight="1">
      <c r="A40" s="711" t="s">
        <v>178</v>
      </c>
      <c r="B40" s="711"/>
      <c r="C40" s="711"/>
      <c r="D40" s="194"/>
      <c r="E40" s="361">
        <v>0</v>
      </c>
      <c r="F40" s="205">
        <v>0</v>
      </c>
      <c r="G40" s="205">
        <v>0</v>
      </c>
      <c r="H40" s="205">
        <v>0</v>
      </c>
      <c r="I40" s="205">
        <v>0</v>
      </c>
      <c r="J40" s="205">
        <v>0</v>
      </c>
      <c r="K40" s="205">
        <v>0</v>
      </c>
      <c r="L40" s="205">
        <v>0</v>
      </c>
      <c r="M40" s="205">
        <v>0</v>
      </c>
      <c r="N40" s="403">
        <v>151222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205">
        <v>0</v>
      </c>
      <c r="U40" s="205">
        <v>0</v>
      </c>
      <c r="V40" s="205">
        <v>0</v>
      </c>
      <c r="W40" s="205">
        <v>0</v>
      </c>
      <c r="X40" s="205">
        <v>0</v>
      </c>
      <c r="Y40" s="205">
        <v>0</v>
      </c>
      <c r="Z40" s="205">
        <v>0</v>
      </c>
      <c r="AA40" s="439">
        <v>0</v>
      </c>
      <c r="AB40" s="437">
        <f t="shared" si="2"/>
        <v>151222</v>
      </c>
    </row>
    <row r="41" spans="1:31">
      <c r="A41" s="712" t="s">
        <v>104</v>
      </c>
      <c r="B41" s="712"/>
      <c r="C41" s="712"/>
      <c r="D41" s="712"/>
      <c r="E41" s="712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37"/>
    </row>
    <row r="42" spans="1:31">
      <c r="A42" s="695" t="s">
        <v>127</v>
      </c>
      <c r="B42" s="695"/>
      <c r="C42" s="695"/>
      <c r="D42" s="362"/>
      <c r="E42" s="357">
        <v>953108</v>
      </c>
      <c r="F42" s="214">
        <v>926867</v>
      </c>
      <c r="G42" s="214">
        <v>924854</v>
      </c>
      <c r="H42" s="214">
        <v>914441</v>
      </c>
      <c r="I42" s="214">
        <v>1001167</v>
      </c>
      <c r="J42" s="214">
        <v>1212671</v>
      </c>
      <c r="K42" s="214">
        <v>1059761</v>
      </c>
      <c r="L42" s="214">
        <v>1539410</v>
      </c>
      <c r="M42" s="214">
        <v>1453333</v>
      </c>
      <c r="N42" s="214">
        <v>1423416</v>
      </c>
      <c r="O42" s="214">
        <v>1284439</v>
      </c>
      <c r="P42" s="214">
        <v>1426082</v>
      </c>
      <c r="Q42" s="214">
        <v>1480397</v>
      </c>
      <c r="R42" s="214">
        <v>1409052</v>
      </c>
      <c r="S42" s="214">
        <v>1455078</v>
      </c>
      <c r="T42" s="214">
        <v>1233826</v>
      </c>
      <c r="U42" s="214">
        <v>1460119</v>
      </c>
      <c r="V42" s="214">
        <v>1597610</v>
      </c>
      <c r="W42" s="214">
        <v>845167</v>
      </c>
      <c r="X42" s="214">
        <v>1302092</v>
      </c>
      <c r="Y42" s="214">
        <v>1160372</v>
      </c>
      <c r="Z42" s="214">
        <v>728402</v>
      </c>
      <c r="AA42" s="214">
        <v>217196</v>
      </c>
      <c r="AB42" s="437">
        <f t="shared" si="2"/>
        <v>27008860</v>
      </c>
    </row>
    <row r="43" spans="1:31">
      <c r="A43" s="695" t="s">
        <v>128</v>
      </c>
      <c r="B43" s="695"/>
      <c r="C43" s="695"/>
      <c r="D43" s="362"/>
      <c r="E43" s="357">
        <v>405241</v>
      </c>
      <c r="F43" s="214">
        <v>377945</v>
      </c>
      <c r="G43" s="214">
        <v>455057</v>
      </c>
      <c r="H43" s="214">
        <v>485668</v>
      </c>
      <c r="I43" s="214">
        <v>509972</v>
      </c>
      <c r="J43" s="214">
        <v>602149</v>
      </c>
      <c r="K43" s="214">
        <v>457109</v>
      </c>
      <c r="L43" s="214">
        <v>587227</v>
      </c>
      <c r="M43" s="214">
        <v>591839</v>
      </c>
      <c r="N43" s="214">
        <v>568922</v>
      </c>
      <c r="O43" s="214">
        <v>589817</v>
      </c>
      <c r="P43" s="214">
        <v>564188</v>
      </c>
      <c r="Q43" s="214">
        <v>602256</v>
      </c>
      <c r="R43" s="214">
        <v>588611</v>
      </c>
      <c r="S43" s="214">
        <v>564363</v>
      </c>
      <c r="T43" s="214">
        <v>595801</v>
      </c>
      <c r="U43" s="214">
        <v>562147</v>
      </c>
      <c r="V43" s="214">
        <v>576930</v>
      </c>
      <c r="W43" s="214">
        <v>434629</v>
      </c>
      <c r="X43" s="214">
        <v>495256</v>
      </c>
      <c r="Y43" s="214">
        <v>434375</v>
      </c>
      <c r="Z43" s="214">
        <v>221334</v>
      </c>
      <c r="AA43" s="214">
        <v>141470</v>
      </c>
      <c r="AB43" s="437">
        <f t="shared" si="2"/>
        <v>11412306</v>
      </c>
    </row>
    <row r="44" spans="1:31">
      <c r="A44" s="695" t="s">
        <v>129</v>
      </c>
      <c r="B44" s="695"/>
      <c r="C44" s="695"/>
      <c r="D44" s="362"/>
      <c r="E44" s="357">
        <v>75786</v>
      </c>
      <c r="F44" s="214">
        <v>70437</v>
      </c>
      <c r="G44" s="214">
        <v>83196</v>
      </c>
      <c r="H44" s="214">
        <v>87972</v>
      </c>
      <c r="I44" s="214">
        <v>95360</v>
      </c>
      <c r="J44" s="214">
        <v>113505</v>
      </c>
      <c r="K44" s="214">
        <v>79942</v>
      </c>
      <c r="L44" s="214">
        <v>101070</v>
      </c>
      <c r="M44" s="214">
        <v>106066</v>
      </c>
      <c r="N44" s="214">
        <v>100853</v>
      </c>
      <c r="O44" s="214">
        <v>104919</v>
      </c>
      <c r="P44" s="214">
        <v>97841</v>
      </c>
      <c r="Q44" s="214">
        <v>106039</v>
      </c>
      <c r="R44" s="214">
        <v>103728</v>
      </c>
      <c r="S44" s="214">
        <v>98801</v>
      </c>
      <c r="T44" s="214">
        <v>107293</v>
      </c>
      <c r="U44" s="214">
        <v>96386</v>
      </c>
      <c r="V44" s="214">
        <v>97698</v>
      </c>
      <c r="W44" s="214">
        <v>81670</v>
      </c>
      <c r="X44" s="214">
        <v>94161</v>
      </c>
      <c r="Y44" s="214">
        <v>76907</v>
      </c>
      <c r="Z44" s="214">
        <v>36364</v>
      </c>
      <c r="AA44" s="214">
        <v>23871</v>
      </c>
      <c r="AB44" s="437">
        <f t="shared" si="2"/>
        <v>2039865</v>
      </c>
    </row>
    <row r="45" spans="1:31">
      <c r="A45" s="695" t="s">
        <v>130</v>
      </c>
      <c r="B45" s="695"/>
      <c r="C45" s="695"/>
      <c r="D45" s="362"/>
      <c r="E45" s="357">
        <v>134962</v>
      </c>
      <c r="F45" s="214">
        <v>125713</v>
      </c>
      <c r="G45" s="214">
        <v>149425</v>
      </c>
      <c r="H45" s="214">
        <v>157750</v>
      </c>
      <c r="I45" s="214">
        <v>170212</v>
      </c>
      <c r="J45" s="214">
        <v>201835</v>
      </c>
      <c r="K45" s="214">
        <v>144350</v>
      </c>
      <c r="L45" s="214">
        <v>181074</v>
      </c>
      <c r="M45" s="214">
        <v>190047</v>
      </c>
      <c r="N45" s="214">
        <v>180163</v>
      </c>
      <c r="O45" s="214">
        <v>191391</v>
      </c>
      <c r="P45" s="214">
        <v>176205</v>
      </c>
      <c r="Q45" s="214">
        <v>189482</v>
      </c>
      <c r="R45" s="214">
        <v>186041</v>
      </c>
      <c r="S45" s="214">
        <v>177479</v>
      </c>
      <c r="T45" s="214">
        <v>193642</v>
      </c>
      <c r="U45" s="214">
        <v>174291</v>
      </c>
      <c r="V45" s="214">
        <v>177524</v>
      </c>
      <c r="W45" s="214">
        <v>145932</v>
      </c>
      <c r="X45" s="214">
        <v>137782</v>
      </c>
      <c r="Y45" s="214">
        <v>137782</v>
      </c>
      <c r="Z45" s="214">
        <v>65371</v>
      </c>
      <c r="AA45" s="214">
        <v>43816</v>
      </c>
      <c r="AB45" s="437">
        <f t="shared" si="2"/>
        <v>3632269</v>
      </c>
    </row>
    <row r="46" spans="1:31">
      <c r="A46" s="695" t="s">
        <v>136</v>
      </c>
      <c r="B46" s="695"/>
      <c r="C46" s="695"/>
      <c r="D46" s="362"/>
      <c r="E46" s="357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>
        <v>103385</v>
      </c>
      <c r="AA46" s="214">
        <v>40293</v>
      </c>
      <c r="AB46" s="437">
        <f t="shared" si="2"/>
        <v>143678</v>
      </c>
    </row>
    <row r="47" spans="1:31">
      <c r="A47" s="695" t="s">
        <v>184</v>
      </c>
      <c r="B47" s="695"/>
      <c r="C47" s="695"/>
      <c r="D47" s="362"/>
      <c r="E47" s="357"/>
      <c r="F47" s="214">
        <v>1085</v>
      </c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437">
        <f t="shared" si="2"/>
        <v>1085</v>
      </c>
    </row>
    <row r="48" spans="1:31">
      <c r="A48" s="696" t="s">
        <v>131</v>
      </c>
      <c r="B48" s="696"/>
      <c r="C48" s="696"/>
      <c r="D48" s="363"/>
      <c r="E48" s="366">
        <f t="shared" ref="E48:AA48" si="10">SUM(E42:E47)</f>
        <v>1569097</v>
      </c>
      <c r="F48" s="216">
        <f t="shared" si="10"/>
        <v>1502047</v>
      </c>
      <c r="G48" s="216">
        <f t="shared" si="10"/>
        <v>1612532</v>
      </c>
      <c r="H48" s="216">
        <f t="shared" si="10"/>
        <v>1645831</v>
      </c>
      <c r="I48" s="216">
        <f t="shared" si="10"/>
        <v>1776711</v>
      </c>
      <c r="J48" s="216">
        <f t="shared" si="10"/>
        <v>2130160</v>
      </c>
      <c r="K48" s="216">
        <f t="shared" si="10"/>
        <v>1741162</v>
      </c>
      <c r="L48" s="216">
        <f t="shared" si="10"/>
        <v>2408781</v>
      </c>
      <c r="M48" s="216">
        <f t="shared" si="10"/>
        <v>2341285</v>
      </c>
      <c r="N48" s="216">
        <f t="shared" si="10"/>
        <v>2273354</v>
      </c>
      <c r="O48" s="216">
        <f t="shared" si="10"/>
        <v>2170566</v>
      </c>
      <c r="P48" s="216">
        <f t="shared" si="10"/>
        <v>2264316</v>
      </c>
      <c r="Q48" s="216">
        <f t="shared" si="10"/>
        <v>2378174</v>
      </c>
      <c r="R48" s="216">
        <f t="shared" si="10"/>
        <v>2287432</v>
      </c>
      <c r="S48" s="216">
        <f t="shared" si="10"/>
        <v>2295721</v>
      </c>
      <c r="T48" s="216">
        <f t="shared" si="10"/>
        <v>2130562</v>
      </c>
      <c r="U48" s="216">
        <f t="shared" si="10"/>
        <v>2292943</v>
      </c>
      <c r="V48" s="216">
        <f t="shared" si="10"/>
        <v>2449762</v>
      </c>
      <c r="W48" s="216">
        <f t="shared" si="10"/>
        <v>1507398</v>
      </c>
      <c r="X48" s="216">
        <f t="shared" si="10"/>
        <v>2029291</v>
      </c>
      <c r="Y48" s="216">
        <f t="shared" si="10"/>
        <v>1809436</v>
      </c>
      <c r="Z48" s="216">
        <f t="shared" si="10"/>
        <v>1154856</v>
      </c>
      <c r="AA48" s="216">
        <f t="shared" si="10"/>
        <v>466646</v>
      </c>
      <c r="AB48" s="216">
        <f t="shared" si="2"/>
        <v>44238063</v>
      </c>
    </row>
    <row r="49" spans="1:28" ht="12.75" customHeight="1">
      <c r="A49" s="713" t="s">
        <v>51</v>
      </c>
      <c r="B49" s="713"/>
      <c r="C49" s="713"/>
      <c r="D49" s="196"/>
      <c r="E49" s="367">
        <f t="shared" ref="E49:AB49" si="11">E28/E6</f>
        <v>0.78922944793194771</v>
      </c>
      <c r="F49" s="217">
        <f t="shared" si="11"/>
        <v>0.7767363929658091</v>
      </c>
      <c r="G49" s="217">
        <f t="shared" si="11"/>
        <v>0.79743553987475935</v>
      </c>
      <c r="H49" s="217">
        <f t="shared" si="11"/>
        <v>0.81884493094588873</v>
      </c>
      <c r="I49" s="217">
        <f t="shared" si="11"/>
        <v>0.79679493846482052</v>
      </c>
      <c r="J49" s="217">
        <f t="shared" si="11"/>
        <v>0.78639958899236617</v>
      </c>
      <c r="K49" s="217">
        <f t="shared" si="11"/>
        <v>0.83435325148947004</v>
      </c>
      <c r="L49" s="217">
        <f t="shared" si="11"/>
        <v>0.80265523770405056</v>
      </c>
      <c r="M49" s="217">
        <f t="shared" si="11"/>
        <v>0.94395351987145948</v>
      </c>
      <c r="N49" s="217">
        <f t="shared" si="11"/>
        <v>0.8617736936495507</v>
      </c>
      <c r="O49" s="217">
        <f t="shared" si="11"/>
        <v>0.90158496002005428</v>
      </c>
      <c r="P49" s="217">
        <f t="shared" si="11"/>
        <v>0.80488899482224863</v>
      </c>
      <c r="Q49" s="217">
        <f t="shared" si="11"/>
        <v>0.792014537576338</v>
      </c>
      <c r="R49" s="217">
        <f t="shared" si="11"/>
        <v>0.80477094596625043</v>
      </c>
      <c r="S49" s="217">
        <f t="shared" si="11"/>
        <v>0.82734927622228049</v>
      </c>
      <c r="T49" s="217">
        <f t="shared" si="11"/>
        <v>0.83294966546854599</v>
      </c>
      <c r="U49" s="217">
        <f t="shared" si="11"/>
        <v>0.79233445984842843</v>
      </c>
      <c r="V49" s="217">
        <f t="shared" si="11"/>
        <v>0.84148344174512324</v>
      </c>
      <c r="W49" s="217">
        <f t="shared" si="11"/>
        <v>0.84908440839007016</v>
      </c>
      <c r="X49" s="217">
        <f t="shared" si="11"/>
        <v>0.81704156118920679</v>
      </c>
      <c r="Y49" s="217">
        <f t="shared" si="11"/>
        <v>0.74609782884176734</v>
      </c>
      <c r="Z49" s="217">
        <f t="shared" si="11"/>
        <v>0.69879430860480063</v>
      </c>
      <c r="AA49" s="217">
        <f t="shared" si="11"/>
        <v>0.70132236233625023</v>
      </c>
      <c r="AB49" s="438">
        <f t="shared" si="11"/>
        <v>0.81733010822105712</v>
      </c>
    </row>
    <row r="50" spans="1:28" hidden="1">
      <c r="A50" s="684"/>
      <c r="B50" s="685"/>
      <c r="C50" s="686"/>
      <c r="D50" s="356"/>
      <c r="E50" s="425"/>
      <c r="F50" s="426"/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6"/>
      <c r="R50" s="426"/>
      <c r="S50" s="426"/>
      <c r="T50" s="426"/>
      <c r="U50" s="426"/>
      <c r="V50" s="426"/>
      <c r="W50" s="426"/>
      <c r="X50" s="426"/>
      <c r="Y50" s="426"/>
      <c r="Z50" s="426"/>
      <c r="AA50" s="426"/>
      <c r="AB50" s="437"/>
    </row>
    <row r="51" spans="1:28">
      <c r="A51" s="714" t="s">
        <v>15</v>
      </c>
      <c r="B51" s="714"/>
      <c r="C51" s="714"/>
      <c r="D51" s="196"/>
      <c r="E51" s="715">
        <f t="shared" ref="E51:L51" si="12">E72+E77+E92</f>
        <v>441507.06000000006</v>
      </c>
      <c r="F51" s="690">
        <f t="shared" si="12"/>
        <v>377946.54</v>
      </c>
      <c r="G51" s="690">
        <f t="shared" si="12"/>
        <v>383205.2</v>
      </c>
      <c r="H51" s="690">
        <f t="shared" si="12"/>
        <v>616023.26000000013</v>
      </c>
      <c r="I51" s="690">
        <f t="shared" si="12"/>
        <v>503258.68</v>
      </c>
      <c r="J51" s="690">
        <f t="shared" si="12"/>
        <v>562050.25</v>
      </c>
      <c r="K51" s="690">
        <f t="shared" si="12"/>
        <v>589396.88</v>
      </c>
      <c r="L51" s="690">
        <f t="shared" si="12"/>
        <v>962088.34</v>
      </c>
      <c r="M51" s="690">
        <f>M72+M77+M88+M92</f>
        <v>1678843.82</v>
      </c>
      <c r="N51" s="690">
        <f>N72+N77+N88+N92</f>
        <v>1615672.9200000002</v>
      </c>
      <c r="O51" s="690">
        <f>O72+O77+O88+O90</f>
        <v>1151020.8800000001</v>
      </c>
      <c r="P51" s="690">
        <f t="shared" ref="P51:Z51" si="13">P72+P77+P92</f>
        <v>859322.27999999991</v>
      </c>
      <c r="Q51" s="690" t="e">
        <f t="shared" si="13"/>
        <v>#REF!</v>
      </c>
      <c r="R51" s="690" t="e">
        <f t="shared" si="13"/>
        <v>#REF!</v>
      </c>
      <c r="S51" s="690" t="e">
        <f t="shared" si="13"/>
        <v>#REF!</v>
      </c>
      <c r="T51" s="690" t="e">
        <f t="shared" si="13"/>
        <v>#REF!</v>
      </c>
      <c r="U51" s="690" t="e">
        <f t="shared" si="13"/>
        <v>#REF!</v>
      </c>
      <c r="V51" s="690" t="e">
        <f t="shared" si="13"/>
        <v>#REF!</v>
      </c>
      <c r="W51" s="690" t="e">
        <f t="shared" si="13"/>
        <v>#REF!</v>
      </c>
      <c r="X51" s="697" t="e">
        <f t="shared" si="13"/>
        <v>#REF!</v>
      </c>
      <c r="Y51" s="690" t="e">
        <f t="shared" si="13"/>
        <v>#REF!</v>
      </c>
      <c r="Z51" s="690" t="e">
        <f t="shared" si="13"/>
        <v>#REF!</v>
      </c>
      <c r="AA51" s="690" t="e">
        <f>AA72+AA77</f>
        <v>#REF!</v>
      </c>
      <c r="AB51" s="681" t="e">
        <f t="shared" si="2"/>
        <v>#REF!</v>
      </c>
    </row>
    <row r="52" spans="1:28" ht="6" customHeight="1">
      <c r="A52" s="714"/>
      <c r="B52" s="714"/>
      <c r="C52" s="714"/>
      <c r="D52" s="196"/>
      <c r="E52" s="715"/>
      <c r="F52" s="690"/>
      <c r="G52" s="690"/>
      <c r="H52" s="690"/>
      <c r="I52" s="690"/>
      <c r="J52" s="690"/>
      <c r="K52" s="690"/>
      <c r="L52" s="690"/>
      <c r="M52" s="690"/>
      <c r="N52" s="690"/>
      <c r="O52" s="690"/>
      <c r="P52" s="690"/>
      <c r="Q52" s="690"/>
      <c r="R52" s="690"/>
      <c r="S52" s="690"/>
      <c r="T52" s="690"/>
      <c r="U52" s="690"/>
      <c r="V52" s="690"/>
      <c r="W52" s="690"/>
      <c r="X52" s="697"/>
      <c r="Y52" s="690"/>
      <c r="Z52" s="690"/>
      <c r="AA52" s="690"/>
      <c r="AB52" s="681"/>
    </row>
    <row r="53" spans="1:28">
      <c r="A53" s="706" t="s">
        <v>16</v>
      </c>
      <c r="B53" s="706"/>
      <c r="C53" s="706"/>
      <c r="D53" s="706"/>
      <c r="E53" s="70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37"/>
    </row>
    <row r="54" spans="1:28" ht="12.75" customHeight="1">
      <c r="A54" s="720" t="s">
        <v>170</v>
      </c>
      <c r="B54" s="720"/>
      <c r="C54" s="720"/>
      <c r="D54" s="368">
        <f>SUM(D55:D69)</f>
        <v>8.2300000000000022</v>
      </c>
      <c r="E54" s="369"/>
      <c r="F54" s="200"/>
      <c r="G54" s="200"/>
      <c r="H54" s="200"/>
      <c r="I54" s="200"/>
      <c r="J54" s="200"/>
      <c r="K54" s="200"/>
      <c r="L54" s="200"/>
      <c r="M54" s="214"/>
      <c r="N54" s="200"/>
      <c r="O54" s="200"/>
      <c r="P54" s="200"/>
      <c r="Q54" s="214"/>
      <c r="R54" s="200"/>
      <c r="S54" s="200"/>
      <c r="T54" s="200"/>
      <c r="U54" s="214"/>
      <c r="V54" s="214"/>
      <c r="W54" s="200"/>
      <c r="X54" s="200"/>
      <c r="Y54" s="214"/>
      <c r="Z54" s="214"/>
      <c r="AA54" s="214"/>
      <c r="AB54" s="437"/>
    </row>
    <row r="55" spans="1:28" ht="12.75" customHeight="1">
      <c r="A55" s="721" t="s">
        <v>18</v>
      </c>
      <c r="B55" s="721"/>
      <c r="C55" s="721"/>
      <c r="D55" s="370">
        <v>0.31</v>
      </c>
      <c r="E55" s="386">
        <v>9871</v>
      </c>
      <c r="F55" s="218">
        <v>9747</v>
      </c>
      <c r="G55" s="218">
        <v>9664</v>
      </c>
      <c r="H55" s="218">
        <v>9845</v>
      </c>
      <c r="I55" s="218">
        <v>12615</v>
      </c>
      <c r="J55" s="218">
        <v>12849</v>
      </c>
      <c r="K55" s="218">
        <v>12580</v>
      </c>
      <c r="L55" s="199">
        <v>15249</v>
      </c>
      <c r="M55" s="218"/>
      <c r="N55" s="199">
        <v>14794</v>
      </c>
      <c r="O55" s="218">
        <v>15392</v>
      </c>
      <c r="P55" s="398">
        <v>15333</v>
      </c>
      <c r="Q55" s="218"/>
      <c r="R55" s="398">
        <v>15084</v>
      </c>
      <c r="S55" s="398">
        <v>15415</v>
      </c>
      <c r="T55" s="398">
        <v>15381</v>
      </c>
      <c r="U55" s="218"/>
      <c r="V55" s="218"/>
      <c r="W55" s="398">
        <v>10353</v>
      </c>
      <c r="X55" s="398">
        <v>12658</v>
      </c>
      <c r="Y55" s="218"/>
      <c r="Z55" s="218"/>
      <c r="AA55" s="218"/>
      <c r="AB55" s="437">
        <f t="shared" si="2"/>
        <v>206830</v>
      </c>
    </row>
    <row r="56" spans="1:28" ht="12.75" customHeight="1">
      <c r="A56" s="721" t="s">
        <v>19</v>
      </c>
      <c r="B56" s="721"/>
      <c r="C56" s="721"/>
      <c r="D56" s="370">
        <v>2.21</v>
      </c>
      <c r="E56" s="386">
        <v>66945</v>
      </c>
      <c r="F56" s="218">
        <v>66106</v>
      </c>
      <c r="G56" s="218">
        <v>65542</v>
      </c>
      <c r="H56" s="218">
        <v>66764</v>
      </c>
      <c r="I56" s="218">
        <v>85555</v>
      </c>
      <c r="J56" s="218">
        <v>87137</v>
      </c>
      <c r="K56" s="218">
        <v>85312</v>
      </c>
      <c r="L56" s="199">
        <v>93913</v>
      </c>
      <c r="M56" s="218"/>
      <c r="N56" s="199">
        <v>91111</v>
      </c>
      <c r="O56" s="218">
        <v>94793</v>
      </c>
      <c r="P56" s="398">
        <v>94431</v>
      </c>
      <c r="Q56" s="218"/>
      <c r="R56" s="398">
        <v>92899</v>
      </c>
      <c r="S56" s="398">
        <v>94935</v>
      </c>
      <c r="T56" s="398">
        <v>94728</v>
      </c>
      <c r="U56" s="218"/>
      <c r="V56" s="218"/>
      <c r="W56" s="398">
        <v>70212</v>
      </c>
      <c r="X56" s="398">
        <v>85842</v>
      </c>
      <c r="Y56" s="218"/>
      <c r="Z56" s="218"/>
      <c r="AA56" s="218"/>
      <c r="AB56" s="437">
        <f t="shared" si="2"/>
        <v>1336225</v>
      </c>
    </row>
    <row r="57" spans="1:28" ht="12.75" customHeight="1">
      <c r="A57" s="719" t="s">
        <v>126</v>
      </c>
      <c r="B57" s="719"/>
      <c r="C57" s="719"/>
      <c r="D57" s="370">
        <v>0</v>
      </c>
      <c r="E57" s="386"/>
      <c r="F57" s="393">
        <f t="shared" ref="F57:K57" si="14">E57*D2*12</f>
        <v>0</v>
      </c>
      <c r="G57" s="218">
        <f t="shared" si="14"/>
        <v>0</v>
      </c>
      <c r="H57" s="218">
        <f t="shared" si="14"/>
        <v>0</v>
      </c>
      <c r="I57" s="398">
        <f t="shared" si="14"/>
        <v>0</v>
      </c>
      <c r="J57" s="199">
        <f t="shared" si="14"/>
        <v>0</v>
      </c>
      <c r="K57" s="199">
        <f t="shared" si="14"/>
        <v>0</v>
      </c>
      <c r="L57" s="199">
        <v>135274</v>
      </c>
      <c r="M57" s="218">
        <v>136302</v>
      </c>
      <c r="N57" s="199">
        <v>131236</v>
      </c>
      <c r="O57" s="218">
        <v>136541</v>
      </c>
      <c r="P57" s="398">
        <v>136019</v>
      </c>
      <c r="Q57" s="218" t="e">
        <f>#REF!</f>
        <v>#REF!</v>
      </c>
      <c r="R57" s="398">
        <v>133811</v>
      </c>
      <c r="S57" s="398">
        <v>136743</v>
      </c>
      <c r="T57" s="398">
        <v>136445</v>
      </c>
      <c r="U57" s="218" t="e">
        <f>#REF!</f>
        <v>#REF!</v>
      </c>
      <c r="V57" s="218" t="e">
        <f>#REF!</f>
        <v>#REF!</v>
      </c>
      <c r="W57" s="398" t="e">
        <f>V57*U2*12</f>
        <v>#REF!</v>
      </c>
      <c r="X57" s="398"/>
      <c r="Y57" s="218"/>
      <c r="Z57" s="218"/>
      <c r="AA57" s="218"/>
      <c r="AB57" s="437" t="e">
        <f t="shared" si="2"/>
        <v>#REF!</v>
      </c>
    </row>
    <row r="58" spans="1:28" ht="12.75" customHeight="1">
      <c r="A58" s="721" t="s">
        <v>21</v>
      </c>
      <c r="B58" s="721"/>
      <c r="C58" s="721"/>
      <c r="D58" s="370">
        <v>0.15</v>
      </c>
      <c r="E58" s="386">
        <v>4776</v>
      </c>
      <c r="F58" s="218">
        <v>4717</v>
      </c>
      <c r="G58" s="218">
        <v>4676</v>
      </c>
      <c r="H58" s="218">
        <v>4764</v>
      </c>
      <c r="I58" s="218">
        <v>6104</v>
      </c>
      <c r="J58" s="218">
        <v>6217</v>
      </c>
      <c r="K58" s="218">
        <v>6087</v>
      </c>
      <c r="L58" s="199">
        <v>7379</v>
      </c>
      <c r="M58" s="218"/>
      <c r="N58" s="199">
        <v>7158</v>
      </c>
      <c r="O58" s="218">
        <v>7448</v>
      </c>
      <c r="P58" s="398">
        <v>7419</v>
      </c>
      <c r="Q58" s="218"/>
      <c r="R58" s="398">
        <v>7299</v>
      </c>
      <c r="S58" s="398">
        <v>7459</v>
      </c>
      <c r="T58" s="398">
        <v>7442</v>
      </c>
      <c r="U58" s="218"/>
      <c r="V58" s="218"/>
      <c r="W58" s="398">
        <v>5009</v>
      </c>
      <c r="X58" s="398">
        <v>6125</v>
      </c>
      <c r="Y58" s="218"/>
      <c r="Z58" s="218"/>
      <c r="AA58" s="218"/>
      <c r="AB58" s="437">
        <f t="shared" si="2"/>
        <v>100079</v>
      </c>
    </row>
    <row r="59" spans="1:28" ht="12.75" customHeight="1">
      <c r="A59" s="721" t="s">
        <v>22</v>
      </c>
      <c r="B59" s="721"/>
      <c r="C59" s="721"/>
      <c r="D59" s="370">
        <v>0.7</v>
      </c>
      <c r="E59" s="386">
        <v>22289</v>
      </c>
      <c r="F59" s="218">
        <v>22010</v>
      </c>
      <c r="G59" s="218">
        <v>21822</v>
      </c>
      <c r="H59" s="218">
        <v>22230</v>
      </c>
      <c r="I59" s="218">
        <v>28486</v>
      </c>
      <c r="J59" s="218">
        <v>29013</v>
      </c>
      <c r="K59" s="218">
        <v>28405</v>
      </c>
      <c r="L59" s="199">
        <v>42796</v>
      </c>
      <c r="M59" s="218">
        <v>78807</v>
      </c>
      <c r="N59" s="199">
        <v>41518</v>
      </c>
      <c r="O59" s="218">
        <v>43197</v>
      </c>
      <c r="P59" s="398">
        <v>43031</v>
      </c>
      <c r="Q59" s="218" t="e">
        <f>#REF!</f>
        <v>#REF!</v>
      </c>
      <c r="R59" s="398">
        <v>42333</v>
      </c>
      <c r="S59" s="398">
        <v>43260</v>
      </c>
      <c r="T59" s="398">
        <v>43166</v>
      </c>
      <c r="U59" s="218" t="e">
        <f>#REF!</f>
        <v>#REF!</v>
      </c>
      <c r="V59" s="218" t="e">
        <f>#REF!</f>
        <v>#REF!</v>
      </c>
      <c r="W59" s="398">
        <v>23377</v>
      </c>
      <c r="X59" s="398">
        <v>28582</v>
      </c>
      <c r="Y59" s="218" t="e">
        <f>#REF!</f>
        <v>#REF!</v>
      </c>
      <c r="Z59" s="218" t="e">
        <f>#REF!</f>
        <v>#REF!</v>
      </c>
      <c r="AA59" s="218" t="e">
        <f>#REF!</f>
        <v>#REF!</v>
      </c>
      <c r="AB59" s="437" t="e">
        <f t="shared" si="2"/>
        <v>#REF!</v>
      </c>
    </row>
    <row r="60" spans="1:28" ht="12.75" customHeight="1">
      <c r="A60" s="721" t="s">
        <v>96</v>
      </c>
      <c r="B60" s="721"/>
      <c r="C60" s="721"/>
      <c r="D60" s="370">
        <v>1.6</v>
      </c>
      <c r="E60" s="386">
        <v>50947</v>
      </c>
      <c r="F60" s="218">
        <v>50309</v>
      </c>
      <c r="G60" s="218">
        <v>49880</v>
      </c>
      <c r="H60" s="218">
        <v>50811</v>
      </c>
      <c r="I60" s="218">
        <v>65110</v>
      </c>
      <c r="J60" s="218">
        <v>66315</v>
      </c>
      <c r="K60" s="218">
        <v>64927</v>
      </c>
      <c r="L60" s="199">
        <v>78705</v>
      </c>
      <c r="M60" s="218">
        <v>38660</v>
      </c>
      <c r="N60" s="199">
        <v>76355</v>
      </c>
      <c r="O60" s="218">
        <v>79442</v>
      </c>
      <c r="P60" s="398">
        <v>79138</v>
      </c>
      <c r="Q60" s="218" t="e">
        <f>#REF!</f>
        <v>#REF!</v>
      </c>
      <c r="R60" s="398">
        <v>77854</v>
      </c>
      <c r="S60" s="398">
        <v>79559</v>
      </c>
      <c r="T60" s="398">
        <v>79386</v>
      </c>
      <c r="U60" s="218" t="e">
        <f>#REF!</f>
        <v>#REF!</v>
      </c>
      <c r="V60" s="218" t="e">
        <f>#REF!</f>
        <v>#REF!</v>
      </c>
      <c r="W60" s="398">
        <v>53433</v>
      </c>
      <c r="X60" s="398">
        <v>65329</v>
      </c>
      <c r="Y60" s="218" t="e">
        <f>#REF!</f>
        <v>#REF!</v>
      </c>
      <c r="Z60" s="218" t="e">
        <f>#REF!</f>
        <v>#REF!</v>
      </c>
      <c r="AA60" s="218" t="e">
        <f>#REF!</f>
        <v>#REF!</v>
      </c>
      <c r="AB60" s="437" t="e">
        <f t="shared" si="2"/>
        <v>#REF!</v>
      </c>
    </row>
    <row r="61" spans="1:28" ht="12.75" customHeight="1">
      <c r="A61" s="707" t="s">
        <v>169</v>
      </c>
      <c r="B61" s="707"/>
      <c r="C61" s="707"/>
      <c r="D61" s="370">
        <v>0.53</v>
      </c>
      <c r="E61" s="387">
        <v>16876</v>
      </c>
      <c r="F61" s="218">
        <v>16665</v>
      </c>
      <c r="G61" s="218">
        <v>16523</v>
      </c>
      <c r="H61" s="218">
        <v>16831</v>
      </c>
      <c r="I61" s="218">
        <v>21568</v>
      </c>
      <c r="J61" s="218">
        <v>21967</v>
      </c>
      <c r="K61" s="218">
        <v>21507</v>
      </c>
      <c r="L61" s="340">
        <v>26071</v>
      </c>
      <c r="M61" s="218">
        <v>26269</v>
      </c>
      <c r="N61" s="340">
        <v>25293</v>
      </c>
      <c r="O61" s="218">
        <v>26315</v>
      </c>
      <c r="P61" s="399">
        <v>26215</v>
      </c>
      <c r="Q61" s="214" t="e">
        <f>#REF!</f>
        <v>#REF!</v>
      </c>
      <c r="R61" s="399">
        <v>25789</v>
      </c>
      <c r="S61" s="399">
        <v>26354</v>
      </c>
      <c r="T61" s="399">
        <v>26297</v>
      </c>
      <c r="U61" s="214" t="e">
        <f>#REF!</f>
        <v>#REF!</v>
      </c>
      <c r="V61" s="214" t="e">
        <f>#REF!</f>
        <v>#REF!</v>
      </c>
      <c r="W61" s="399">
        <v>17700</v>
      </c>
      <c r="X61" s="399">
        <v>21640</v>
      </c>
      <c r="Y61" s="214" t="e">
        <f>#REF!</f>
        <v>#REF!</v>
      </c>
      <c r="Z61" s="218" t="e">
        <f>#REF!</f>
        <v>#REF!</v>
      </c>
      <c r="AA61" s="218" t="e">
        <f>#REF!</f>
        <v>#REF!</v>
      </c>
      <c r="AB61" s="437" t="e">
        <f t="shared" si="2"/>
        <v>#REF!</v>
      </c>
    </row>
    <row r="62" spans="1:28" ht="12.75" customHeight="1">
      <c r="A62" s="719" t="s">
        <v>139</v>
      </c>
      <c r="B62" s="719"/>
      <c r="C62" s="719"/>
      <c r="D62" s="370">
        <v>0</v>
      </c>
      <c r="E62" s="386"/>
      <c r="F62" s="393">
        <f t="shared" ref="F62:L62" si="15">E62*D2*12</f>
        <v>0</v>
      </c>
      <c r="G62" s="218">
        <f t="shared" si="15"/>
        <v>0</v>
      </c>
      <c r="H62" s="218">
        <f t="shared" si="15"/>
        <v>0</v>
      </c>
      <c r="I62" s="398">
        <f t="shared" si="15"/>
        <v>0</v>
      </c>
      <c r="J62" s="199">
        <f t="shared" si="15"/>
        <v>0</v>
      </c>
      <c r="K62" s="199">
        <f t="shared" si="15"/>
        <v>0</v>
      </c>
      <c r="L62" s="199">
        <f t="shared" si="15"/>
        <v>0</v>
      </c>
      <c r="M62" s="218">
        <v>10409</v>
      </c>
      <c r="N62" s="199">
        <f>M62*L2*12</f>
        <v>0</v>
      </c>
      <c r="O62" s="218">
        <f>N62*M2*12</f>
        <v>0</v>
      </c>
      <c r="P62" s="398">
        <f>O62*N2*12</f>
        <v>0</v>
      </c>
      <c r="Q62" s="214" t="e">
        <f>#REF!</f>
        <v>#REF!</v>
      </c>
      <c r="R62" s="398" t="e">
        <f>Q62*P2*12</f>
        <v>#REF!</v>
      </c>
      <c r="S62" s="398" t="e">
        <f>R62*Q2*12</f>
        <v>#REF!</v>
      </c>
      <c r="T62" s="398" t="e">
        <f>S62*R2*12</f>
        <v>#REF!</v>
      </c>
      <c r="U62" s="214" t="e">
        <f>#REF!</f>
        <v>#REF!</v>
      </c>
      <c r="V62" s="214" t="e">
        <f>#REF!</f>
        <v>#REF!</v>
      </c>
      <c r="W62" s="398" t="e">
        <f>V62*U2*12</f>
        <v>#REF!</v>
      </c>
      <c r="X62" s="398"/>
      <c r="Y62" s="214" t="e">
        <f>#REF!</f>
        <v>#REF!</v>
      </c>
      <c r="Z62" s="218"/>
      <c r="AA62" s="214"/>
      <c r="AB62" s="437" t="e">
        <f t="shared" si="2"/>
        <v>#REF!</v>
      </c>
    </row>
    <row r="63" spans="1:28" ht="12.75" hidden="1" customHeight="1">
      <c r="A63" s="720" t="s">
        <v>123</v>
      </c>
      <c r="B63" s="720"/>
      <c r="C63" s="720"/>
      <c r="D63" s="427"/>
      <c r="E63" s="387"/>
      <c r="F63" s="393"/>
      <c r="G63" s="218"/>
      <c r="H63" s="218"/>
      <c r="I63" s="399"/>
      <c r="J63" s="340"/>
      <c r="K63" s="340"/>
      <c r="L63" s="340"/>
      <c r="M63" s="218"/>
      <c r="N63" s="340"/>
      <c r="O63" s="218"/>
      <c r="P63" s="399"/>
      <c r="Q63" s="218"/>
      <c r="R63" s="399"/>
      <c r="S63" s="399"/>
      <c r="T63" s="399"/>
      <c r="U63" s="218"/>
      <c r="V63" s="218"/>
      <c r="W63" s="399"/>
      <c r="X63" s="399"/>
      <c r="Y63" s="218"/>
      <c r="Z63" s="218"/>
      <c r="AA63" s="218"/>
      <c r="AB63" s="437">
        <f t="shared" si="2"/>
        <v>0</v>
      </c>
    </row>
    <row r="64" spans="1:28" ht="12.75" customHeight="1">
      <c r="A64" s="721" t="s">
        <v>122</v>
      </c>
      <c r="B64" s="721"/>
      <c r="C64" s="721"/>
      <c r="D64" s="370">
        <v>0.45</v>
      </c>
      <c r="E64" s="387">
        <v>14329</v>
      </c>
      <c r="F64" s="218">
        <v>14150</v>
      </c>
      <c r="G64" s="218">
        <v>14029</v>
      </c>
      <c r="H64" s="218">
        <v>14291</v>
      </c>
      <c r="I64" s="218">
        <v>18312</v>
      </c>
      <c r="J64" s="218">
        <v>18651</v>
      </c>
      <c r="K64" s="218">
        <v>18261</v>
      </c>
      <c r="L64" s="340">
        <v>44271</v>
      </c>
      <c r="M64" s="218">
        <v>8922</v>
      </c>
      <c r="N64" s="340">
        <v>42950</v>
      </c>
      <c r="O64" s="218">
        <v>44686</v>
      </c>
      <c r="P64" s="399">
        <v>44515</v>
      </c>
      <c r="Q64" s="218" t="e">
        <f>#REF!</f>
        <v>#REF!</v>
      </c>
      <c r="R64" s="399">
        <v>43793</v>
      </c>
      <c r="S64" s="399">
        <v>44752</v>
      </c>
      <c r="T64" s="399">
        <v>44655</v>
      </c>
      <c r="U64" s="218" t="e">
        <f>#REF!</f>
        <v>#REF!</v>
      </c>
      <c r="V64" s="218" t="e">
        <f>#REF!</f>
        <v>#REF!</v>
      </c>
      <c r="W64" s="399">
        <v>15028</v>
      </c>
      <c r="X64" s="399">
        <v>18374</v>
      </c>
      <c r="Y64" s="218" t="e">
        <f>#REF!</f>
        <v>#REF!</v>
      </c>
      <c r="Z64" s="218" t="e">
        <f>#REF!</f>
        <v>#REF!</v>
      </c>
      <c r="AA64" s="218" t="e">
        <f>#REF!</f>
        <v>#REF!</v>
      </c>
      <c r="AB64" s="437" t="e">
        <f t="shared" si="2"/>
        <v>#REF!</v>
      </c>
    </row>
    <row r="65" spans="1:28" ht="12.75" customHeight="1">
      <c r="A65" s="721" t="s">
        <v>121</v>
      </c>
      <c r="B65" s="721"/>
      <c r="C65" s="721"/>
      <c r="D65" s="370">
        <v>1.4</v>
      </c>
      <c r="E65" s="387">
        <v>44579</v>
      </c>
      <c r="F65" s="218">
        <v>44021</v>
      </c>
      <c r="G65" s="218">
        <v>43645</v>
      </c>
      <c r="H65" s="218">
        <v>44459</v>
      </c>
      <c r="I65" s="218">
        <v>56971</v>
      </c>
      <c r="J65" s="218">
        <v>58026</v>
      </c>
      <c r="K65" s="218">
        <v>56811</v>
      </c>
      <c r="L65" s="340">
        <v>68867</v>
      </c>
      <c r="M65" s="218">
        <v>69390</v>
      </c>
      <c r="N65" s="340">
        <v>66811</v>
      </c>
      <c r="O65" s="218">
        <v>69512</v>
      </c>
      <c r="P65" s="399">
        <v>69246</v>
      </c>
      <c r="Q65" s="218" t="e">
        <f>#REF!</f>
        <v>#REF!</v>
      </c>
      <c r="R65" s="399">
        <v>68122</v>
      </c>
      <c r="S65" s="399">
        <v>69614</v>
      </c>
      <c r="T65" s="399">
        <v>69463</v>
      </c>
      <c r="U65" s="218" t="e">
        <f>#REF!</f>
        <v>#REF!</v>
      </c>
      <c r="V65" s="218" t="e">
        <f>#REF!</f>
        <v>#REF!</v>
      </c>
      <c r="W65" s="399">
        <v>46754</v>
      </c>
      <c r="X65" s="399" t="e">
        <f>#REF!</f>
        <v>#REF!</v>
      </c>
      <c r="Y65" s="218" t="e">
        <f>#REF!</f>
        <v>#REF!</v>
      </c>
      <c r="Z65" s="218" t="e">
        <f>#REF!</f>
        <v>#REF!</v>
      </c>
      <c r="AA65" s="218" t="e">
        <f>#REF!</f>
        <v>#REF!</v>
      </c>
      <c r="AB65" s="437" t="e">
        <f t="shared" si="2"/>
        <v>#REF!</v>
      </c>
    </row>
    <row r="66" spans="1:28" ht="12.75" customHeight="1">
      <c r="A66" s="719" t="s">
        <v>180</v>
      </c>
      <c r="B66" s="719"/>
      <c r="C66" s="719"/>
      <c r="D66" s="370">
        <v>0</v>
      </c>
      <c r="E66" s="387"/>
      <c r="F66" s="218">
        <f t="shared" ref="F66:L66" si="16">E66*D3</f>
        <v>0</v>
      </c>
      <c r="G66" s="218">
        <f t="shared" si="16"/>
        <v>0</v>
      </c>
      <c r="H66" s="399">
        <f t="shared" si="16"/>
        <v>0</v>
      </c>
      <c r="I66" s="340">
        <f t="shared" si="16"/>
        <v>0</v>
      </c>
      <c r="J66" s="340">
        <f t="shared" si="16"/>
        <v>0</v>
      </c>
      <c r="K66" s="340">
        <f t="shared" si="16"/>
        <v>0</v>
      </c>
      <c r="L66" s="340">
        <f t="shared" si="16"/>
        <v>0</v>
      </c>
      <c r="M66" s="218">
        <v>113502</v>
      </c>
      <c r="N66" s="340">
        <f>M66*L3</f>
        <v>0</v>
      </c>
      <c r="O66" s="218">
        <f>N66*M3</f>
        <v>0</v>
      </c>
      <c r="P66" s="399">
        <f>O66*N3</f>
        <v>0</v>
      </c>
      <c r="Q66" s="218" t="e">
        <f>#REF!</f>
        <v>#REF!</v>
      </c>
      <c r="R66" s="399" t="e">
        <f>Q66*P3</f>
        <v>#REF!</v>
      </c>
      <c r="S66" s="399" t="e">
        <f>R66*Q3</f>
        <v>#REF!</v>
      </c>
      <c r="T66" s="399" t="e">
        <f>S66*R3</f>
        <v>#REF!</v>
      </c>
      <c r="U66" s="218" t="e">
        <f>#REF!</f>
        <v>#REF!</v>
      </c>
      <c r="V66" s="218" t="e">
        <f>#REF!</f>
        <v>#REF!</v>
      </c>
      <c r="W66" s="399" t="e">
        <f>V66*U3</f>
        <v>#REF!</v>
      </c>
      <c r="X66" s="399"/>
      <c r="Y66" s="218" t="e">
        <f>#REF!</f>
        <v>#REF!</v>
      </c>
      <c r="Z66" s="218" t="e">
        <f>#REF!</f>
        <v>#REF!</v>
      </c>
      <c r="AA66" s="218" t="e">
        <f>#REF!</f>
        <v>#REF!</v>
      </c>
      <c r="AB66" s="437" t="e">
        <f t="shared" si="2"/>
        <v>#REF!</v>
      </c>
    </row>
    <row r="67" spans="1:28" ht="24" customHeight="1">
      <c r="A67" s="736" t="s">
        <v>181</v>
      </c>
      <c r="B67" s="736"/>
      <c r="C67" s="736"/>
      <c r="D67" s="370">
        <v>0</v>
      </c>
      <c r="E67" s="387"/>
      <c r="F67" s="218">
        <v>0</v>
      </c>
      <c r="G67" s="218">
        <v>0</v>
      </c>
      <c r="H67" s="399">
        <v>0</v>
      </c>
      <c r="I67" s="340">
        <v>0</v>
      </c>
      <c r="J67" s="340">
        <v>0</v>
      </c>
      <c r="K67" s="340">
        <v>0</v>
      </c>
      <c r="L67" s="340">
        <v>0</v>
      </c>
      <c r="M67" s="218">
        <v>133824</v>
      </c>
      <c r="N67" s="340">
        <v>0</v>
      </c>
      <c r="O67" s="218">
        <v>0</v>
      </c>
      <c r="P67" s="399">
        <v>0</v>
      </c>
      <c r="Q67" s="218" t="e">
        <f>#REF!</f>
        <v>#REF!</v>
      </c>
      <c r="R67" s="399">
        <v>0</v>
      </c>
      <c r="S67" s="399">
        <v>0</v>
      </c>
      <c r="T67" s="399">
        <v>0</v>
      </c>
      <c r="U67" s="218" t="e">
        <f>#REF!</f>
        <v>#REF!</v>
      </c>
      <c r="V67" s="218" t="e">
        <f>#REF!</f>
        <v>#REF!</v>
      </c>
      <c r="W67" s="399">
        <v>0</v>
      </c>
      <c r="X67" s="399"/>
      <c r="Y67" s="218" t="e">
        <f>#REF!</f>
        <v>#REF!</v>
      </c>
      <c r="Z67" s="218" t="e">
        <f>#REF!</f>
        <v>#REF!</v>
      </c>
      <c r="AA67" s="218" t="e">
        <f>#REF!</f>
        <v>#REF!</v>
      </c>
      <c r="AB67" s="437" t="e">
        <f t="shared" si="2"/>
        <v>#REF!</v>
      </c>
    </row>
    <row r="68" spans="1:28" ht="12.75" customHeight="1">
      <c r="A68" s="721" t="s">
        <v>132</v>
      </c>
      <c r="B68" s="721"/>
      <c r="C68" s="721"/>
      <c r="D68" s="370">
        <v>0.15</v>
      </c>
      <c r="E68" s="387">
        <v>5241</v>
      </c>
      <c r="F68" s="218">
        <v>5176</v>
      </c>
      <c r="G68" s="218">
        <v>5131</v>
      </c>
      <c r="H68" s="218">
        <f>2%*H9</f>
        <v>5227.16</v>
      </c>
      <c r="I68" s="218">
        <f>2%*I9</f>
        <v>6698.2</v>
      </c>
      <c r="J68" s="218">
        <f>2%*J9</f>
        <v>6822.16</v>
      </c>
      <c r="K68" s="218">
        <f>2%*K9</f>
        <v>6679.32</v>
      </c>
      <c r="L68" s="340">
        <v>11648</v>
      </c>
      <c r="M68" s="218">
        <f>L68*K2*12</f>
        <v>0</v>
      </c>
      <c r="N68" s="340">
        <f>2%*N9</f>
        <v>11300.58</v>
      </c>
      <c r="O68" s="218">
        <f>2%*O9</f>
        <v>11757.42</v>
      </c>
      <c r="P68" s="399">
        <f>2%*P9</f>
        <v>11712.44</v>
      </c>
      <c r="Q68" s="218">
        <f>P68*O2*12</f>
        <v>0</v>
      </c>
      <c r="R68" s="399">
        <f>2%*R9</f>
        <v>11522.36</v>
      </c>
      <c r="S68" s="399">
        <f>2%*S9</f>
        <v>11774.800000000001</v>
      </c>
      <c r="T68" s="399">
        <f>2%*T9</f>
        <v>11749.16</v>
      </c>
      <c r="U68" s="218">
        <f>T68*S2*12</f>
        <v>0</v>
      </c>
      <c r="V68" s="218">
        <f>U68*T2*12</f>
        <v>0</v>
      </c>
      <c r="W68" s="399">
        <f>2%*W9</f>
        <v>5496.96</v>
      </c>
      <c r="X68" s="399">
        <f>2%*X9</f>
        <v>6720.74</v>
      </c>
      <c r="Y68" s="218"/>
      <c r="Z68" s="218"/>
      <c r="AA68" s="218"/>
      <c r="AB68" s="437">
        <f t="shared" si="2"/>
        <v>134657.30000000002</v>
      </c>
    </row>
    <row r="69" spans="1:28" ht="12.75" customHeight="1">
      <c r="A69" s="721" t="s">
        <v>133</v>
      </c>
      <c r="B69" s="721"/>
      <c r="C69" s="721"/>
      <c r="D69" s="370">
        <v>0.73</v>
      </c>
      <c r="E69" s="387">
        <v>26206</v>
      </c>
      <c r="F69" s="218">
        <v>25878</v>
      </c>
      <c r="G69" s="218">
        <v>25657</v>
      </c>
      <c r="H69" s="218">
        <f>10%*H9</f>
        <v>26135.800000000003</v>
      </c>
      <c r="I69" s="218">
        <f>10%*I9</f>
        <v>33491</v>
      </c>
      <c r="J69" s="218">
        <f>10%*J9</f>
        <v>34110.800000000003</v>
      </c>
      <c r="K69" s="218">
        <f>10%*K9</f>
        <v>33396.6</v>
      </c>
      <c r="L69" s="340">
        <v>58241</v>
      </c>
      <c r="M69" s="218">
        <f>L69*K2*12</f>
        <v>0</v>
      </c>
      <c r="N69" s="340">
        <f>10%*N9</f>
        <v>56502.9</v>
      </c>
      <c r="O69" s="218">
        <f>10%*O9</f>
        <v>58787.100000000006</v>
      </c>
      <c r="P69" s="399">
        <f>10%*P9</f>
        <v>58562.200000000004</v>
      </c>
      <c r="Q69" s="218">
        <f>P69*O2*12</f>
        <v>0</v>
      </c>
      <c r="R69" s="399">
        <f>10%*R9</f>
        <v>57611.8</v>
      </c>
      <c r="S69" s="399">
        <f>10%*S9</f>
        <v>58874</v>
      </c>
      <c r="T69" s="399">
        <f>10%*T9</f>
        <v>58745.8</v>
      </c>
      <c r="U69" s="218">
        <f>T69*S2*12</f>
        <v>0</v>
      </c>
      <c r="V69" s="218">
        <f>U69*T2*12</f>
        <v>0</v>
      </c>
      <c r="W69" s="399">
        <f>10%*W9</f>
        <v>27484.800000000003</v>
      </c>
      <c r="X69" s="399">
        <f>10%*X9</f>
        <v>33603.700000000004</v>
      </c>
      <c r="Y69" s="218">
        <f>X69*W2*12</f>
        <v>0</v>
      </c>
      <c r="Z69" s="218">
        <f>Y69*X2*12</f>
        <v>0</v>
      </c>
      <c r="AA69" s="218">
        <f>Z69*Y2*12</f>
        <v>0</v>
      </c>
      <c r="AB69" s="437">
        <f t="shared" si="2"/>
        <v>673288.5</v>
      </c>
    </row>
    <row r="70" spans="1:28" ht="12.75" hidden="1" customHeight="1">
      <c r="A70" s="713" t="s">
        <v>101</v>
      </c>
      <c r="B70" s="713"/>
      <c r="C70" s="713"/>
      <c r="D70" s="196"/>
      <c r="E70" s="388"/>
      <c r="F70" s="200"/>
      <c r="G70" s="214"/>
      <c r="H70" s="218"/>
      <c r="I70" s="200"/>
      <c r="J70" s="200"/>
      <c r="K70" s="200"/>
      <c r="L70" s="200"/>
      <c r="M70" s="214"/>
      <c r="N70" s="200"/>
      <c r="O70" s="349"/>
      <c r="P70" s="200"/>
      <c r="Q70" s="214"/>
      <c r="R70" s="400"/>
      <c r="S70" s="400"/>
      <c r="T70" s="400"/>
      <c r="U70" s="214"/>
      <c r="V70" s="214"/>
      <c r="W70" s="400"/>
      <c r="X70" s="400"/>
      <c r="Y70" s="214"/>
      <c r="Z70" s="214"/>
      <c r="AA70" s="214">
        <f>AA54+AA62+AA68+AA69</f>
        <v>0</v>
      </c>
      <c r="AB70" s="437">
        <f t="shared" si="2"/>
        <v>0</v>
      </c>
    </row>
    <row r="71" spans="1:28" ht="12.75" hidden="1" customHeight="1">
      <c r="A71" s="707" t="s">
        <v>138</v>
      </c>
      <c r="B71" s="707"/>
      <c r="C71" s="707"/>
      <c r="D71" s="372"/>
      <c r="E71" s="388">
        <v>0</v>
      </c>
      <c r="F71" s="200">
        <v>0</v>
      </c>
      <c r="G71" s="214">
        <v>0</v>
      </c>
      <c r="H71" s="218">
        <v>0</v>
      </c>
      <c r="I71" s="200">
        <v>0</v>
      </c>
      <c r="J71" s="200">
        <v>0</v>
      </c>
      <c r="K71" s="200">
        <v>0</v>
      </c>
      <c r="L71" s="200">
        <v>0</v>
      </c>
      <c r="M71" s="214">
        <v>0</v>
      </c>
      <c r="N71" s="200">
        <v>0</v>
      </c>
      <c r="O71" s="349">
        <v>0</v>
      </c>
      <c r="P71" s="200">
        <v>0</v>
      </c>
      <c r="Q71" s="214">
        <v>0</v>
      </c>
      <c r="R71" s="400">
        <v>0</v>
      </c>
      <c r="S71" s="400">
        <v>0</v>
      </c>
      <c r="T71" s="400">
        <v>0</v>
      </c>
      <c r="U71" s="214">
        <v>0</v>
      </c>
      <c r="V71" s="214">
        <v>0</v>
      </c>
      <c r="W71" s="400">
        <v>0</v>
      </c>
      <c r="X71" s="400">
        <v>0</v>
      </c>
      <c r="Y71" s="214">
        <v>0</v>
      </c>
      <c r="Z71" s="214">
        <v>0</v>
      </c>
      <c r="AA71" s="214">
        <v>0</v>
      </c>
      <c r="AB71" s="437">
        <f t="shared" si="2"/>
        <v>0</v>
      </c>
    </row>
    <row r="72" spans="1:28" ht="12.75" customHeight="1">
      <c r="A72" s="713" t="s">
        <v>102</v>
      </c>
      <c r="B72" s="713"/>
      <c r="C72" s="713"/>
      <c r="D72" s="196"/>
      <c r="E72" s="388">
        <f>SUM(E55:E69)</f>
        <v>262059</v>
      </c>
      <c r="F72" s="214">
        <f t="shared" ref="F72:L72" si="17">SUM(F54:F71)</f>
        <v>258779</v>
      </c>
      <c r="G72" s="214">
        <f t="shared" si="17"/>
        <v>256569</v>
      </c>
      <c r="H72" s="214">
        <f t="shared" si="17"/>
        <v>261357.96000000002</v>
      </c>
      <c r="I72" s="214">
        <f t="shared" si="17"/>
        <v>334910.2</v>
      </c>
      <c r="J72" s="214">
        <f t="shared" si="17"/>
        <v>341107.95999999996</v>
      </c>
      <c r="K72" s="200">
        <f t="shared" si="17"/>
        <v>333965.92</v>
      </c>
      <c r="L72" s="200">
        <f t="shared" si="17"/>
        <v>582414</v>
      </c>
      <c r="M72" s="214">
        <f>SUM(M55:M71)</f>
        <v>616085</v>
      </c>
      <c r="N72" s="200">
        <f>SUM(N54:N71)</f>
        <v>565029.48</v>
      </c>
      <c r="O72" s="214">
        <f>SUM(O54:O71)</f>
        <v>587870.52</v>
      </c>
      <c r="P72" s="200">
        <f>SUM(P54:P71)</f>
        <v>585621.6399999999</v>
      </c>
      <c r="Q72" s="413" t="e">
        <f>SUM(Q55:Q69)</f>
        <v>#REF!</v>
      </c>
      <c r="R72" s="400" t="e">
        <f>SUM(R54:R71)</f>
        <v>#REF!</v>
      </c>
      <c r="S72" s="400" t="e">
        <f>SUM(S54:S71)</f>
        <v>#REF!</v>
      </c>
      <c r="T72" s="400" t="e">
        <f>SUM(T54:T71)</f>
        <v>#REF!</v>
      </c>
      <c r="U72" s="214" t="e">
        <f>SUM(U55:U69)</f>
        <v>#REF!</v>
      </c>
      <c r="V72" s="214" t="e">
        <f>SUM(V55:V69)</f>
        <v>#REF!</v>
      </c>
      <c r="W72" s="400" t="e">
        <f>SUM(W54:W71)</f>
        <v>#REF!</v>
      </c>
      <c r="X72" s="400" t="e">
        <f>SUM(X54:X71)</f>
        <v>#REF!</v>
      </c>
      <c r="Y72" s="214" t="e">
        <f>SUM(Y55:Y69)</f>
        <v>#REF!</v>
      </c>
      <c r="Z72" s="214" t="e">
        <f>SUM(Z55:Z69)</f>
        <v>#REF!</v>
      </c>
      <c r="AA72" s="214" t="e">
        <f>SUM(AA55:AA69)</f>
        <v>#REF!</v>
      </c>
      <c r="AB72" s="437" t="e">
        <f t="shared" si="2"/>
        <v>#REF!</v>
      </c>
    </row>
    <row r="73" spans="1:28">
      <c r="A73" s="706" t="s">
        <v>35</v>
      </c>
      <c r="B73" s="706"/>
      <c r="C73" s="706"/>
      <c r="D73" s="706"/>
      <c r="E73" s="706"/>
      <c r="F73" s="416"/>
      <c r="G73" s="416"/>
      <c r="H73" s="416"/>
      <c r="I73" s="416"/>
      <c r="J73" s="416"/>
      <c r="K73" s="416"/>
      <c r="L73" s="416"/>
      <c r="M73" s="416"/>
      <c r="N73" s="214">
        <f>N71+N72</f>
        <v>565029.48</v>
      </c>
      <c r="O73" s="416"/>
      <c r="P73" s="416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37">
        <f t="shared" si="2"/>
        <v>565029.48</v>
      </c>
    </row>
    <row r="74" spans="1:28" ht="12.75" customHeight="1">
      <c r="A74" s="734" t="s">
        <v>120</v>
      </c>
      <c r="B74" s="734"/>
      <c r="C74" s="734"/>
      <c r="D74" s="390">
        <v>4.04</v>
      </c>
      <c r="E74" s="391">
        <v>123481</v>
      </c>
      <c r="F74" s="216">
        <v>64359</v>
      </c>
      <c r="G74" s="216">
        <v>70553</v>
      </c>
      <c r="H74" s="216">
        <v>298301</v>
      </c>
      <c r="I74" s="216">
        <v>102263</v>
      </c>
      <c r="J74" s="216">
        <f>'[2]10'!$E$48</f>
        <v>145463.99000000002</v>
      </c>
      <c r="K74" s="216">
        <v>193003</v>
      </c>
      <c r="L74" s="405">
        <v>295101</v>
      </c>
      <c r="M74" s="216">
        <v>222045</v>
      </c>
      <c r="N74" s="216">
        <v>146836</v>
      </c>
      <c r="O74" s="216">
        <v>237196</v>
      </c>
      <c r="P74" s="216">
        <v>192345</v>
      </c>
      <c r="Q74" s="216">
        <v>241845</v>
      </c>
      <c r="R74" s="216">
        <f>'[2]26'!$E$51</f>
        <v>224318.01</v>
      </c>
      <c r="S74" s="216">
        <v>187876</v>
      </c>
      <c r="T74" s="216">
        <v>206593</v>
      </c>
      <c r="U74" s="216">
        <v>449159</v>
      </c>
      <c r="V74" s="216">
        <f>'[2]31'!$E$46</f>
        <v>201529.64</v>
      </c>
      <c r="W74" s="216">
        <f>'[2]32'!$E$48</f>
        <v>168544.12</v>
      </c>
      <c r="X74" s="216">
        <v>35121</v>
      </c>
      <c r="Y74" s="216">
        <v>228022</v>
      </c>
      <c r="Z74" s="216">
        <v>104006</v>
      </c>
      <c r="AA74" s="216">
        <v>2983</v>
      </c>
      <c r="AB74" s="437">
        <f t="shared" si="2"/>
        <v>4140943.7600000002</v>
      </c>
    </row>
    <row r="75" spans="1:28" ht="12.75" customHeight="1">
      <c r="A75" s="708" t="s">
        <v>132</v>
      </c>
      <c r="B75" s="708"/>
      <c r="C75" s="708"/>
      <c r="D75" s="392"/>
      <c r="E75" s="391">
        <f t="shared" ref="E75:L75" si="18">2%*E13</f>
        <v>2572.84</v>
      </c>
      <c r="F75" s="406">
        <f t="shared" si="18"/>
        <v>2540.62</v>
      </c>
      <c r="G75" s="406">
        <f t="shared" si="18"/>
        <v>2518.92</v>
      </c>
      <c r="H75" s="406">
        <f t="shared" si="18"/>
        <v>2565.94</v>
      </c>
      <c r="I75" s="406">
        <f t="shared" si="18"/>
        <v>3288.06</v>
      </c>
      <c r="J75" s="406">
        <f t="shared" si="18"/>
        <v>3348.9</v>
      </c>
      <c r="K75" s="216">
        <f t="shared" si="18"/>
        <v>3278.78</v>
      </c>
      <c r="L75" s="405">
        <f t="shared" si="18"/>
        <v>3974.58</v>
      </c>
      <c r="M75" s="218"/>
      <c r="N75" s="216">
        <f>2%*N13</f>
        <v>3922.82</v>
      </c>
      <c r="O75" s="218">
        <f>2%*O13</f>
        <v>4011.82</v>
      </c>
      <c r="P75" s="218">
        <f>2%*P13</f>
        <v>3996.46</v>
      </c>
      <c r="Q75" s="218"/>
      <c r="R75" s="218">
        <f>2%*R13</f>
        <v>3931.56</v>
      </c>
      <c r="S75" s="218">
        <f>2%*S13</f>
        <v>4017.76</v>
      </c>
      <c r="T75" s="218">
        <f>2%*T13</f>
        <v>4009</v>
      </c>
      <c r="U75" s="218"/>
      <c r="V75" s="218">
        <v>0</v>
      </c>
      <c r="W75" s="387">
        <f>2%*W13</f>
        <v>2698.38</v>
      </c>
      <c r="X75" s="371">
        <f>2%*X13</f>
        <v>3281.34</v>
      </c>
      <c r="Y75" s="218"/>
      <c r="Z75" s="218"/>
      <c r="AA75" s="218"/>
      <c r="AB75" s="437">
        <f t="shared" ref="AB75:AB92" si="19">SUM(E75:AA75)</f>
        <v>53957.78</v>
      </c>
    </row>
    <row r="76" spans="1:28" ht="12.75" customHeight="1">
      <c r="A76" s="708" t="s">
        <v>133</v>
      </c>
      <c r="B76" s="708"/>
      <c r="C76" s="708"/>
      <c r="D76" s="392"/>
      <c r="E76" s="391">
        <f t="shared" ref="E76:L76" si="20">10%*E13</f>
        <v>12864.2</v>
      </c>
      <c r="F76" s="406">
        <f t="shared" si="20"/>
        <v>12703.1</v>
      </c>
      <c r="G76" s="406">
        <f t="shared" si="20"/>
        <v>12594.6</v>
      </c>
      <c r="H76" s="406">
        <f t="shared" si="20"/>
        <v>12829.7</v>
      </c>
      <c r="I76" s="406">
        <f t="shared" si="20"/>
        <v>16440.3</v>
      </c>
      <c r="J76" s="406">
        <f t="shared" si="20"/>
        <v>16744.5</v>
      </c>
      <c r="K76" s="216">
        <f t="shared" si="20"/>
        <v>16393.900000000001</v>
      </c>
      <c r="L76" s="405">
        <f t="shared" si="20"/>
        <v>19872.900000000001</v>
      </c>
      <c r="M76" s="218"/>
      <c r="N76" s="216">
        <f>10%*N13</f>
        <v>19614.100000000002</v>
      </c>
      <c r="O76" s="218">
        <f>10%*O13</f>
        <v>20059.100000000002</v>
      </c>
      <c r="P76" s="218">
        <f>10%*P13</f>
        <v>19982.300000000003</v>
      </c>
      <c r="Q76" s="218"/>
      <c r="R76" s="218">
        <f>10%*R13</f>
        <v>19657.800000000003</v>
      </c>
      <c r="S76" s="218">
        <f>10%*S13</f>
        <v>20088.800000000003</v>
      </c>
      <c r="T76" s="218">
        <f>10%*T13</f>
        <v>20045</v>
      </c>
      <c r="U76" s="218"/>
      <c r="V76" s="218">
        <v>0</v>
      </c>
      <c r="W76" s="387">
        <f>10%*W13</f>
        <v>13491.900000000001</v>
      </c>
      <c r="X76" s="371">
        <f>10%*X13</f>
        <v>16406.7</v>
      </c>
      <c r="Y76" s="218"/>
      <c r="Z76" s="218"/>
      <c r="AA76" s="218"/>
      <c r="AB76" s="437">
        <f t="shared" si="19"/>
        <v>269788.89999999997</v>
      </c>
    </row>
    <row r="77" spans="1:28" ht="12.75" customHeight="1">
      <c r="A77" s="735" t="s">
        <v>38</v>
      </c>
      <c r="B77" s="735"/>
      <c r="C77" s="735"/>
      <c r="D77" s="373"/>
      <c r="E77" s="391">
        <f t="shared" ref="E77:AA77" si="21">SUM(E74:E76)</f>
        <v>138918.04</v>
      </c>
      <c r="F77" s="216">
        <f t="shared" si="21"/>
        <v>79602.720000000001</v>
      </c>
      <c r="G77" s="216">
        <f t="shared" si="21"/>
        <v>85666.52</v>
      </c>
      <c r="H77" s="216">
        <f t="shared" si="21"/>
        <v>313696.64000000001</v>
      </c>
      <c r="I77" s="216">
        <f t="shared" si="21"/>
        <v>121991.36</v>
      </c>
      <c r="J77" s="214">
        <f t="shared" si="21"/>
        <v>165557.39000000001</v>
      </c>
      <c r="K77" s="214">
        <f t="shared" si="21"/>
        <v>212675.68</v>
      </c>
      <c r="L77" s="385">
        <f t="shared" si="21"/>
        <v>318948.48000000004</v>
      </c>
      <c r="M77" s="214">
        <f t="shared" si="21"/>
        <v>222045</v>
      </c>
      <c r="N77" s="214">
        <f t="shared" si="21"/>
        <v>170372.92</v>
      </c>
      <c r="O77" s="214">
        <f t="shared" si="21"/>
        <v>261266.92</v>
      </c>
      <c r="P77" s="214">
        <f t="shared" si="21"/>
        <v>216323.76</v>
      </c>
      <c r="Q77" s="214">
        <f t="shared" si="21"/>
        <v>241845</v>
      </c>
      <c r="R77" s="214">
        <f t="shared" si="21"/>
        <v>247907.37</v>
      </c>
      <c r="S77" s="214">
        <f t="shared" si="21"/>
        <v>211982.56</v>
      </c>
      <c r="T77" s="214">
        <f t="shared" si="21"/>
        <v>230647</v>
      </c>
      <c r="U77" s="214">
        <f t="shared" si="21"/>
        <v>449159</v>
      </c>
      <c r="V77" s="214">
        <f t="shared" si="21"/>
        <v>201529.64</v>
      </c>
      <c r="W77" s="214">
        <f t="shared" si="21"/>
        <v>184734.4</v>
      </c>
      <c r="X77" s="200">
        <f t="shared" si="21"/>
        <v>54809.039999999994</v>
      </c>
      <c r="Y77" s="214">
        <f t="shared" si="21"/>
        <v>228022</v>
      </c>
      <c r="Z77" s="214">
        <f t="shared" si="21"/>
        <v>104006</v>
      </c>
      <c r="AA77" s="214">
        <f t="shared" si="21"/>
        <v>2983</v>
      </c>
      <c r="AB77" s="437">
        <f t="shared" si="19"/>
        <v>4464690.4399999995</v>
      </c>
    </row>
    <row r="78" spans="1:28" hidden="1">
      <c r="A78" s="709" t="s">
        <v>84</v>
      </c>
      <c r="B78" s="709"/>
      <c r="C78" s="709"/>
      <c r="D78" s="709"/>
      <c r="E78" s="709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37">
        <f t="shared" si="19"/>
        <v>0</v>
      </c>
    </row>
    <row r="79" spans="1:28" ht="12.75" hidden="1" customHeight="1">
      <c r="A79" s="705" t="s">
        <v>85</v>
      </c>
      <c r="B79" s="705"/>
      <c r="C79" s="705"/>
      <c r="D79" s="428">
        <v>1.8</v>
      </c>
      <c r="E79" s="374"/>
      <c r="F79" s="208">
        <v>0</v>
      </c>
      <c r="G79" s="208">
        <v>0</v>
      </c>
      <c r="H79" s="221"/>
      <c r="I79" s="221"/>
      <c r="J79" s="208">
        <v>0</v>
      </c>
      <c r="K79" s="221"/>
      <c r="L79" s="221"/>
      <c r="M79" s="346"/>
      <c r="N79" s="346"/>
      <c r="O79" s="346">
        <v>0</v>
      </c>
      <c r="P79" s="221"/>
      <c r="Q79" s="221"/>
      <c r="R79" s="221"/>
      <c r="S79" s="221"/>
      <c r="T79" s="221"/>
      <c r="U79" s="221"/>
      <c r="V79" s="221"/>
      <c r="W79" s="221"/>
      <c r="X79" s="208">
        <v>0</v>
      </c>
      <c r="Y79" s="208">
        <v>0</v>
      </c>
      <c r="Z79" s="208">
        <v>0</v>
      </c>
      <c r="AA79" s="208">
        <v>0</v>
      </c>
      <c r="AB79" s="437">
        <f t="shared" si="19"/>
        <v>0</v>
      </c>
    </row>
    <row r="80" spans="1:28" hidden="1">
      <c r="A80" s="429" t="s">
        <v>103</v>
      </c>
      <c r="B80" s="411"/>
      <c r="C80" s="411"/>
      <c r="D80" s="430"/>
      <c r="E80" s="374">
        <v>0</v>
      </c>
      <c r="F80" s="208">
        <v>0</v>
      </c>
      <c r="G80" s="208">
        <v>0</v>
      </c>
      <c r="H80" s="221">
        <v>0</v>
      </c>
      <c r="I80" s="221">
        <v>0</v>
      </c>
      <c r="J80" s="208">
        <v>0</v>
      </c>
      <c r="K80" s="221">
        <v>0</v>
      </c>
      <c r="L80" s="221">
        <v>0</v>
      </c>
      <c r="M80" s="345">
        <v>0</v>
      </c>
      <c r="N80" s="345">
        <v>0</v>
      </c>
      <c r="O80" s="346">
        <v>0</v>
      </c>
      <c r="P80" s="221">
        <v>0</v>
      </c>
      <c r="Q80" s="221">
        <v>0</v>
      </c>
      <c r="R80" s="221">
        <v>0</v>
      </c>
      <c r="S80" s="221">
        <v>0</v>
      </c>
      <c r="T80" s="221">
        <v>0</v>
      </c>
      <c r="U80" s="221">
        <v>0</v>
      </c>
      <c r="V80" s="221">
        <v>0</v>
      </c>
      <c r="W80" s="221">
        <v>0</v>
      </c>
      <c r="X80" s="208">
        <v>0</v>
      </c>
      <c r="Y80" s="208">
        <v>0</v>
      </c>
      <c r="Z80" s="208">
        <v>0</v>
      </c>
      <c r="AA80" s="208">
        <v>0</v>
      </c>
      <c r="AB80" s="437">
        <f t="shared" si="19"/>
        <v>0</v>
      </c>
    </row>
    <row r="81" spans="1:28" ht="12.75" hidden="1" customHeight="1">
      <c r="A81" s="705" t="s">
        <v>37</v>
      </c>
      <c r="B81" s="705"/>
      <c r="C81" s="705"/>
      <c r="D81" s="209"/>
      <c r="E81" s="375">
        <f>E79*0.1</f>
        <v>0</v>
      </c>
      <c r="F81" s="210">
        <f>F16*0.12</f>
        <v>0</v>
      </c>
      <c r="G81" s="210">
        <f>G16*0.12</f>
        <v>0</v>
      </c>
      <c r="H81" s="222">
        <f>H79*0.1</f>
        <v>0</v>
      </c>
      <c r="I81" s="222">
        <f>I79*0.1</f>
        <v>0</v>
      </c>
      <c r="J81" s="210">
        <f>J16*0.12</f>
        <v>0</v>
      </c>
      <c r="K81" s="222">
        <f t="shared" ref="K81:W81" si="22">K79*0.1</f>
        <v>0</v>
      </c>
      <c r="L81" s="222">
        <f t="shared" si="22"/>
        <v>0</v>
      </c>
      <c r="M81" s="346">
        <f t="shared" si="22"/>
        <v>0</v>
      </c>
      <c r="N81" s="346">
        <f t="shared" si="22"/>
        <v>0</v>
      </c>
      <c r="O81" s="346">
        <f t="shared" si="22"/>
        <v>0</v>
      </c>
      <c r="P81" s="222">
        <f t="shared" si="22"/>
        <v>0</v>
      </c>
      <c r="Q81" s="222">
        <f t="shared" si="22"/>
        <v>0</v>
      </c>
      <c r="R81" s="222">
        <f t="shared" si="22"/>
        <v>0</v>
      </c>
      <c r="S81" s="222">
        <f t="shared" si="22"/>
        <v>0</v>
      </c>
      <c r="T81" s="222">
        <f t="shared" si="22"/>
        <v>0</v>
      </c>
      <c r="U81" s="222">
        <f t="shared" si="22"/>
        <v>0</v>
      </c>
      <c r="V81" s="222">
        <f t="shared" si="22"/>
        <v>0</v>
      </c>
      <c r="W81" s="222">
        <f t="shared" si="22"/>
        <v>0</v>
      </c>
      <c r="X81" s="210">
        <f>X16*0.12</f>
        <v>0</v>
      </c>
      <c r="Y81" s="210">
        <f>Y16*0.12</f>
        <v>0</v>
      </c>
      <c r="Z81" s="210">
        <f>Z16*0.12</f>
        <v>0</v>
      </c>
      <c r="AA81" s="210"/>
      <c r="AB81" s="437">
        <f t="shared" si="19"/>
        <v>0</v>
      </c>
    </row>
    <row r="82" spans="1:28" ht="12.75" hidden="1" customHeight="1">
      <c r="A82" s="705" t="s">
        <v>87</v>
      </c>
      <c r="B82" s="705"/>
      <c r="C82" s="705"/>
      <c r="D82" s="209"/>
      <c r="E82" s="375">
        <f>E79*0.02</f>
        <v>0</v>
      </c>
      <c r="F82" s="210">
        <f>F16*0.02</f>
        <v>0</v>
      </c>
      <c r="G82" s="210">
        <f>G16*0.02</f>
        <v>0</v>
      </c>
      <c r="H82" s="222">
        <f>H79*0.02</f>
        <v>0</v>
      </c>
      <c r="I82" s="222">
        <f>I79*0.02</f>
        <v>0</v>
      </c>
      <c r="J82" s="210">
        <f>J16*0.02</f>
        <v>0</v>
      </c>
      <c r="K82" s="222">
        <f t="shared" ref="K82:W82" si="23">K79*0.02</f>
        <v>0</v>
      </c>
      <c r="L82" s="222">
        <f t="shared" si="23"/>
        <v>0</v>
      </c>
      <c r="M82" s="346">
        <f t="shared" si="23"/>
        <v>0</v>
      </c>
      <c r="N82" s="346">
        <f t="shared" si="23"/>
        <v>0</v>
      </c>
      <c r="O82" s="346">
        <f t="shared" si="23"/>
        <v>0</v>
      </c>
      <c r="P82" s="222">
        <f t="shared" si="23"/>
        <v>0</v>
      </c>
      <c r="Q82" s="222">
        <f t="shared" si="23"/>
        <v>0</v>
      </c>
      <c r="R82" s="222">
        <f t="shared" si="23"/>
        <v>0</v>
      </c>
      <c r="S82" s="222">
        <f t="shared" si="23"/>
        <v>0</v>
      </c>
      <c r="T82" s="222">
        <f t="shared" si="23"/>
        <v>0</v>
      </c>
      <c r="U82" s="222">
        <f t="shared" si="23"/>
        <v>0</v>
      </c>
      <c r="V82" s="222">
        <f t="shared" si="23"/>
        <v>0</v>
      </c>
      <c r="W82" s="222">
        <f t="shared" si="23"/>
        <v>0</v>
      </c>
      <c r="X82" s="210">
        <f>X16*0.02</f>
        <v>0</v>
      </c>
      <c r="Y82" s="210">
        <f>Y16*0.02</f>
        <v>0</v>
      </c>
      <c r="Z82" s="210">
        <f>Z16*0.02</f>
        <v>0</v>
      </c>
      <c r="AA82" s="210"/>
      <c r="AB82" s="437">
        <f t="shared" si="19"/>
        <v>0</v>
      </c>
    </row>
    <row r="83" spans="1:28" ht="12.75" hidden="1" customHeight="1">
      <c r="A83" s="731" t="s">
        <v>88</v>
      </c>
      <c r="B83" s="731"/>
      <c r="C83" s="731"/>
      <c r="D83" s="376"/>
      <c r="E83" s="377">
        <f t="shared" ref="E83:AA83" si="24">SUM(E79:E82)</f>
        <v>0</v>
      </c>
      <c r="F83" s="211">
        <f t="shared" si="24"/>
        <v>0</v>
      </c>
      <c r="G83" s="211">
        <f t="shared" si="24"/>
        <v>0</v>
      </c>
      <c r="H83" s="223">
        <f t="shared" si="24"/>
        <v>0</v>
      </c>
      <c r="I83" s="223">
        <f t="shared" si="24"/>
        <v>0</v>
      </c>
      <c r="J83" s="211">
        <f t="shared" si="24"/>
        <v>0</v>
      </c>
      <c r="K83" s="223">
        <f t="shared" si="24"/>
        <v>0</v>
      </c>
      <c r="L83" s="223">
        <f t="shared" si="24"/>
        <v>0</v>
      </c>
      <c r="M83" s="347">
        <f t="shared" si="24"/>
        <v>0</v>
      </c>
      <c r="N83" s="347">
        <f t="shared" si="24"/>
        <v>0</v>
      </c>
      <c r="O83" s="347">
        <f t="shared" si="24"/>
        <v>0</v>
      </c>
      <c r="P83" s="223">
        <f t="shared" si="24"/>
        <v>0</v>
      </c>
      <c r="Q83" s="223">
        <f t="shared" si="24"/>
        <v>0</v>
      </c>
      <c r="R83" s="223">
        <f t="shared" si="24"/>
        <v>0</v>
      </c>
      <c r="S83" s="223">
        <f t="shared" si="24"/>
        <v>0</v>
      </c>
      <c r="T83" s="223">
        <f t="shared" si="24"/>
        <v>0</v>
      </c>
      <c r="U83" s="223">
        <f t="shared" si="24"/>
        <v>0</v>
      </c>
      <c r="V83" s="223">
        <f t="shared" si="24"/>
        <v>0</v>
      </c>
      <c r="W83" s="223">
        <f t="shared" si="24"/>
        <v>0</v>
      </c>
      <c r="X83" s="211">
        <f t="shared" si="24"/>
        <v>0</v>
      </c>
      <c r="Y83" s="211">
        <f t="shared" si="24"/>
        <v>0</v>
      </c>
      <c r="Z83" s="211">
        <f t="shared" si="24"/>
        <v>0</v>
      </c>
      <c r="AA83" s="211">
        <f t="shared" si="24"/>
        <v>0</v>
      </c>
      <c r="AB83" s="437">
        <f t="shared" si="19"/>
        <v>0</v>
      </c>
    </row>
    <row r="84" spans="1:28">
      <c r="A84" s="732" t="s">
        <v>171</v>
      </c>
      <c r="B84" s="732"/>
      <c r="C84" s="732"/>
      <c r="D84" s="431"/>
      <c r="E84" s="431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37"/>
    </row>
    <row r="85" spans="1:28" ht="12.75" customHeight="1">
      <c r="A85" s="733" t="s">
        <v>174</v>
      </c>
      <c r="B85" s="733"/>
      <c r="C85" s="733"/>
      <c r="D85" s="198"/>
      <c r="E85" s="378">
        <f t="shared" ref="E85:L85" si="25">E17*0.12</f>
        <v>0</v>
      </c>
      <c r="F85" s="212">
        <f t="shared" si="25"/>
        <v>0</v>
      </c>
      <c r="G85" s="212">
        <f t="shared" si="25"/>
        <v>0</v>
      </c>
      <c r="H85" s="212">
        <f t="shared" si="25"/>
        <v>0</v>
      </c>
      <c r="I85" s="212">
        <f t="shared" si="25"/>
        <v>0</v>
      </c>
      <c r="J85" s="212">
        <f t="shared" si="25"/>
        <v>0</v>
      </c>
      <c r="K85" s="212">
        <f t="shared" si="25"/>
        <v>0</v>
      </c>
      <c r="L85" s="212">
        <f t="shared" si="25"/>
        <v>0</v>
      </c>
      <c r="M85" s="343">
        <v>718973</v>
      </c>
      <c r="N85" s="343">
        <f>75941.9+599288.48+38633.53</f>
        <v>713863.91</v>
      </c>
      <c r="O85" s="343">
        <f>50369.58</f>
        <v>50369.58</v>
      </c>
      <c r="P85" s="419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  <c r="AB85" s="437">
        <f t="shared" si="19"/>
        <v>1483206.4900000002</v>
      </c>
    </row>
    <row r="86" spans="1:28" ht="12.75" customHeight="1">
      <c r="A86" s="412" t="s">
        <v>176</v>
      </c>
      <c r="B86" s="412"/>
      <c r="C86" s="412"/>
      <c r="D86" s="198"/>
      <c r="E86" s="378"/>
      <c r="F86" s="212"/>
      <c r="G86" s="212"/>
      <c r="H86" s="212"/>
      <c r="I86" s="212"/>
      <c r="J86" s="212"/>
      <c r="K86" s="212"/>
      <c r="L86" s="212"/>
      <c r="M86" s="343">
        <v>7560</v>
      </c>
      <c r="N86" s="343">
        <v>82186.05</v>
      </c>
      <c r="O86" s="343">
        <f>82186.05*2</f>
        <v>164372.1</v>
      </c>
      <c r="P86" s="212">
        <f t="shared" ref="P86:AA86" si="26">P17*0.12</f>
        <v>0</v>
      </c>
      <c r="Q86" s="212">
        <f t="shared" si="26"/>
        <v>0</v>
      </c>
      <c r="R86" s="212">
        <f t="shared" si="26"/>
        <v>0</v>
      </c>
      <c r="S86" s="212">
        <f t="shared" si="26"/>
        <v>0</v>
      </c>
      <c r="T86" s="212">
        <f t="shared" si="26"/>
        <v>0</v>
      </c>
      <c r="U86" s="212">
        <f t="shared" si="26"/>
        <v>0</v>
      </c>
      <c r="V86" s="212">
        <f t="shared" si="26"/>
        <v>0</v>
      </c>
      <c r="W86" s="212">
        <f t="shared" si="26"/>
        <v>0</v>
      </c>
      <c r="X86" s="212">
        <f t="shared" si="26"/>
        <v>0</v>
      </c>
      <c r="Y86" s="212">
        <f t="shared" si="26"/>
        <v>0</v>
      </c>
      <c r="Z86" s="212">
        <f t="shared" si="26"/>
        <v>0</v>
      </c>
      <c r="AA86" s="212">
        <f t="shared" si="26"/>
        <v>0</v>
      </c>
      <c r="AB86" s="437">
        <f t="shared" si="19"/>
        <v>254118.15000000002</v>
      </c>
    </row>
    <row r="87" spans="1:28">
      <c r="A87" s="725" t="s">
        <v>37</v>
      </c>
      <c r="B87" s="725"/>
      <c r="C87" s="725"/>
      <c r="D87" s="198"/>
      <c r="E87" s="378">
        <f t="shared" ref="E87:L87" si="27">E17-E17/1.18</f>
        <v>0</v>
      </c>
      <c r="F87" s="212">
        <f t="shared" si="27"/>
        <v>0</v>
      </c>
      <c r="G87" s="212">
        <f t="shared" si="27"/>
        <v>0</v>
      </c>
      <c r="H87" s="212">
        <f t="shared" si="27"/>
        <v>0</v>
      </c>
      <c r="I87" s="212">
        <f t="shared" si="27"/>
        <v>0</v>
      </c>
      <c r="J87" s="212">
        <f t="shared" si="27"/>
        <v>0</v>
      </c>
      <c r="K87" s="212">
        <f t="shared" si="27"/>
        <v>0</v>
      </c>
      <c r="L87" s="212">
        <f t="shared" si="27"/>
        <v>0</v>
      </c>
      <c r="M87" s="343">
        <f>M39*0.1</f>
        <v>54000</v>
      </c>
      <c r="N87" s="343">
        <f>N17*0.1</f>
        <v>25526.9</v>
      </c>
      <c r="O87" s="343">
        <f>O39*0.1</f>
        <v>24705</v>
      </c>
      <c r="P87" s="212">
        <f t="shared" ref="P87:AA87" si="28">P17-P17/1.18</f>
        <v>0</v>
      </c>
      <c r="Q87" s="212">
        <f t="shared" si="28"/>
        <v>0</v>
      </c>
      <c r="R87" s="212">
        <f t="shared" si="28"/>
        <v>0</v>
      </c>
      <c r="S87" s="212">
        <f t="shared" si="28"/>
        <v>0</v>
      </c>
      <c r="T87" s="212">
        <f t="shared" si="28"/>
        <v>0</v>
      </c>
      <c r="U87" s="212">
        <f t="shared" si="28"/>
        <v>0</v>
      </c>
      <c r="V87" s="212">
        <f t="shared" si="28"/>
        <v>0</v>
      </c>
      <c r="W87" s="212">
        <f t="shared" si="28"/>
        <v>0</v>
      </c>
      <c r="X87" s="212">
        <f t="shared" si="28"/>
        <v>0</v>
      </c>
      <c r="Y87" s="212">
        <f t="shared" si="28"/>
        <v>0</v>
      </c>
      <c r="Z87" s="212">
        <f t="shared" si="28"/>
        <v>0</v>
      </c>
      <c r="AA87" s="212">
        <f t="shared" si="28"/>
        <v>0</v>
      </c>
      <c r="AB87" s="437">
        <f t="shared" si="19"/>
        <v>104231.9</v>
      </c>
    </row>
    <row r="88" spans="1:28" ht="12.75" customHeight="1">
      <c r="A88" s="729" t="s">
        <v>172</v>
      </c>
      <c r="B88" s="729"/>
      <c r="C88" s="729"/>
      <c r="D88" s="379"/>
      <c r="E88" s="380">
        <f t="shared" ref="E88:L88" si="29">E85+E87</f>
        <v>0</v>
      </c>
      <c r="F88" s="213">
        <f t="shared" si="29"/>
        <v>0</v>
      </c>
      <c r="G88" s="213">
        <f t="shared" si="29"/>
        <v>0</v>
      </c>
      <c r="H88" s="213">
        <f t="shared" si="29"/>
        <v>0</v>
      </c>
      <c r="I88" s="213">
        <f t="shared" si="29"/>
        <v>0</v>
      </c>
      <c r="J88" s="213">
        <f t="shared" si="29"/>
        <v>0</v>
      </c>
      <c r="K88" s="213">
        <f t="shared" si="29"/>
        <v>0</v>
      </c>
      <c r="L88" s="213">
        <f t="shared" si="29"/>
        <v>0</v>
      </c>
      <c r="M88" s="344">
        <f>SUM(M85:M87)</f>
        <v>780533</v>
      </c>
      <c r="N88" s="348">
        <f>SUM(N85:N87)</f>
        <v>821576.8600000001</v>
      </c>
      <c r="O88" s="344">
        <f>SUM(O85:O87)</f>
        <v>239446.68</v>
      </c>
      <c r="P88" s="213">
        <f t="shared" ref="P88:AA88" si="30">P86+P87</f>
        <v>0</v>
      </c>
      <c r="Q88" s="213">
        <f t="shared" si="30"/>
        <v>0</v>
      </c>
      <c r="R88" s="213">
        <f t="shared" si="30"/>
        <v>0</v>
      </c>
      <c r="S88" s="213">
        <f t="shared" si="30"/>
        <v>0</v>
      </c>
      <c r="T88" s="213">
        <f t="shared" si="30"/>
        <v>0</v>
      </c>
      <c r="U88" s="213">
        <f t="shared" si="30"/>
        <v>0</v>
      </c>
      <c r="V88" s="213">
        <f t="shared" si="30"/>
        <v>0</v>
      </c>
      <c r="W88" s="213">
        <f t="shared" si="30"/>
        <v>0</v>
      </c>
      <c r="X88" s="213">
        <f t="shared" si="30"/>
        <v>0</v>
      </c>
      <c r="Y88" s="213">
        <f t="shared" si="30"/>
        <v>0</v>
      </c>
      <c r="Z88" s="213">
        <f t="shared" si="30"/>
        <v>0</v>
      </c>
      <c r="AA88" s="213">
        <f t="shared" si="30"/>
        <v>0</v>
      </c>
      <c r="AB88" s="437">
        <f t="shared" si="19"/>
        <v>1841556.54</v>
      </c>
    </row>
    <row r="89" spans="1:28">
      <c r="A89" s="726" t="s">
        <v>179</v>
      </c>
      <c r="B89" s="727"/>
      <c r="C89" s="727"/>
      <c r="D89" s="727"/>
      <c r="E89" s="727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37"/>
    </row>
    <row r="90" spans="1:28" ht="12.75" hidden="1" customHeight="1">
      <c r="A90" s="728" t="s">
        <v>132</v>
      </c>
      <c r="B90" s="728"/>
      <c r="C90" s="728"/>
      <c r="D90" s="197"/>
      <c r="E90" s="389">
        <f t="shared" ref="E90:N90" si="31">E26*0.02</f>
        <v>40530.020000000004</v>
      </c>
      <c r="F90" s="397">
        <f t="shared" si="31"/>
        <v>39564.82</v>
      </c>
      <c r="G90" s="407">
        <f t="shared" si="31"/>
        <v>40969.68</v>
      </c>
      <c r="H90" s="389">
        <f t="shared" si="31"/>
        <v>40968.660000000003</v>
      </c>
      <c r="I90" s="389">
        <f t="shared" si="31"/>
        <v>46357.120000000003</v>
      </c>
      <c r="J90" s="401">
        <f t="shared" si="31"/>
        <v>55384.9</v>
      </c>
      <c r="K90" s="389">
        <f t="shared" si="31"/>
        <v>42755.28</v>
      </c>
      <c r="L90" s="389">
        <f t="shared" si="31"/>
        <v>60725.86</v>
      </c>
      <c r="M90" s="389">
        <f t="shared" si="31"/>
        <v>60180.82</v>
      </c>
      <c r="N90" s="389">
        <f t="shared" si="31"/>
        <v>58693.66</v>
      </c>
      <c r="O90" s="389">
        <f>O28*0.02</f>
        <v>62436.76</v>
      </c>
      <c r="P90" s="389">
        <f t="shared" ref="P90:AA90" si="32">P26*0.02</f>
        <v>57376.880000000005</v>
      </c>
      <c r="Q90" s="389">
        <f t="shared" si="32"/>
        <v>60815.82</v>
      </c>
      <c r="R90" s="389">
        <f t="shared" si="32"/>
        <v>57755.880000000005</v>
      </c>
      <c r="S90" s="389">
        <f t="shared" si="32"/>
        <v>56674.44</v>
      </c>
      <c r="T90" s="389">
        <f t="shared" si="32"/>
        <v>52582.200000000004</v>
      </c>
      <c r="U90" s="389">
        <f t="shared" si="32"/>
        <v>58275.86</v>
      </c>
      <c r="V90" s="389">
        <f t="shared" si="32"/>
        <v>58788.78</v>
      </c>
      <c r="W90" s="389">
        <f t="shared" si="32"/>
        <v>36320.14</v>
      </c>
      <c r="X90" s="389">
        <f t="shared" si="32"/>
        <v>50800.800000000003</v>
      </c>
      <c r="Y90" s="389">
        <f t="shared" si="32"/>
        <v>49223.3</v>
      </c>
      <c r="Z90" s="389">
        <f t="shared" si="32"/>
        <v>33355.520000000004</v>
      </c>
      <c r="AA90" s="389">
        <f t="shared" si="32"/>
        <v>13615.08</v>
      </c>
      <c r="AB90" s="437">
        <f t="shared" si="19"/>
        <v>1134152.28</v>
      </c>
    </row>
    <row r="91" spans="1:28" hidden="1">
      <c r="A91" s="728" t="s">
        <v>75</v>
      </c>
      <c r="B91" s="728"/>
      <c r="C91" s="728"/>
      <c r="D91" s="197"/>
      <c r="E91" s="381"/>
      <c r="F91" s="396"/>
      <c r="G91" s="381"/>
      <c r="H91" s="381"/>
      <c r="I91" s="381"/>
      <c r="J91" s="402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437"/>
    </row>
    <row r="92" spans="1:28" ht="12.75" customHeight="1">
      <c r="A92" s="730" t="s">
        <v>175</v>
      </c>
      <c r="B92" s="730"/>
      <c r="C92" s="730"/>
      <c r="D92" s="382"/>
      <c r="E92" s="389">
        <f t="shared" ref="E92:AA92" si="33">E90+E91</f>
        <v>40530.020000000004</v>
      </c>
      <c r="F92" s="397">
        <f t="shared" si="33"/>
        <v>39564.82</v>
      </c>
      <c r="G92" s="407">
        <f t="shared" si="33"/>
        <v>40969.68</v>
      </c>
      <c r="H92" s="389">
        <f t="shared" si="33"/>
        <v>40968.660000000003</v>
      </c>
      <c r="I92" s="389">
        <f t="shared" si="33"/>
        <v>46357.120000000003</v>
      </c>
      <c r="J92" s="404">
        <f t="shared" si="33"/>
        <v>55384.9</v>
      </c>
      <c r="K92" s="389">
        <f t="shared" si="33"/>
        <v>42755.28</v>
      </c>
      <c r="L92" s="389">
        <f t="shared" si="33"/>
        <v>60725.86</v>
      </c>
      <c r="M92" s="389">
        <f t="shared" si="33"/>
        <v>60180.82</v>
      </c>
      <c r="N92" s="389">
        <f t="shared" si="33"/>
        <v>58693.66</v>
      </c>
      <c r="O92" s="389">
        <f t="shared" si="33"/>
        <v>62436.76</v>
      </c>
      <c r="P92" s="389">
        <f t="shared" si="33"/>
        <v>57376.880000000005</v>
      </c>
      <c r="Q92" s="389">
        <f t="shared" si="33"/>
        <v>60815.82</v>
      </c>
      <c r="R92" s="389">
        <f t="shared" si="33"/>
        <v>57755.880000000005</v>
      </c>
      <c r="S92" s="389">
        <f t="shared" si="33"/>
        <v>56674.44</v>
      </c>
      <c r="T92" s="389">
        <f t="shared" si="33"/>
        <v>52582.200000000004</v>
      </c>
      <c r="U92" s="389">
        <f t="shared" si="33"/>
        <v>58275.86</v>
      </c>
      <c r="V92" s="389">
        <f t="shared" si="33"/>
        <v>58788.78</v>
      </c>
      <c r="W92" s="389">
        <f t="shared" si="33"/>
        <v>36320.14</v>
      </c>
      <c r="X92" s="389">
        <f t="shared" si="33"/>
        <v>50800.800000000003</v>
      </c>
      <c r="Y92" s="389">
        <f t="shared" si="33"/>
        <v>49223.3</v>
      </c>
      <c r="Z92" s="389">
        <f t="shared" si="33"/>
        <v>33355.520000000004</v>
      </c>
      <c r="AA92" s="389">
        <f t="shared" si="33"/>
        <v>13615.08</v>
      </c>
      <c r="AB92" s="437">
        <f t="shared" si="19"/>
        <v>1134152.28</v>
      </c>
    </row>
    <row r="93" spans="1:28" hidden="1">
      <c r="A93" s="687"/>
      <c r="B93" s="688"/>
      <c r="C93" s="689"/>
      <c r="D93" s="432"/>
      <c r="E93" s="433"/>
      <c r="F93" s="434"/>
      <c r="G93" s="434"/>
      <c r="H93" s="434"/>
      <c r="I93" s="434"/>
      <c r="J93" s="434"/>
      <c r="K93" s="434"/>
      <c r="L93" s="434"/>
      <c r="M93" s="419"/>
      <c r="N93" s="419"/>
      <c r="O93" s="419"/>
      <c r="P93" s="419"/>
      <c r="Q93" s="434"/>
      <c r="R93" s="419"/>
      <c r="S93" s="419"/>
      <c r="T93" s="419"/>
      <c r="U93" s="416"/>
      <c r="V93" s="416"/>
      <c r="W93" s="419"/>
      <c r="X93" s="419"/>
      <c r="Y93" s="434"/>
      <c r="Z93" s="434"/>
      <c r="AA93" s="434"/>
      <c r="AB93" s="416"/>
    </row>
    <row r="94" spans="1:28" ht="12.75" customHeight="1">
      <c r="A94" s="691" t="s">
        <v>79</v>
      </c>
      <c r="B94" s="691"/>
      <c r="C94" s="691"/>
      <c r="D94" s="435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34"/>
      <c r="P94" s="416"/>
      <c r="Q94" s="416"/>
      <c r="R94" s="416"/>
      <c r="S94" s="416"/>
      <c r="T94" s="416"/>
      <c r="U94" s="419"/>
      <c r="V94" s="419"/>
      <c r="W94" s="416"/>
      <c r="X94" s="416"/>
      <c r="Y94" s="416"/>
      <c r="Z94" s="416"/>
      <c r="AA94" s="416"/>
      <c r="AB94" s="416"/>
    </row>
    <row r="95" spans="1:28" ht="12.75" customHeight="1">
      <c r="A95" s="703" t="s">
        <v>134</v>
      </c>
      <c r="B95" s="703"/>
      <c r="C95" s="703"/>
      <c r="D95" s="356"/>
      <c r="E95" s="395">
        <f t="shared" ref="E95:M95" si="34">E11-E72</f>
        <v>0</v>
      </c>
      <c r="F95" s="395">
        <f t="shared" si="34"/>
        <v>0</v>
      </c>
      <c r="G95" s="394">
        <f t="shared" si="34"/>
        <v>0</v>
      </c>
      <c r="H95" s="394">
        <f t="shared" si="34"/>
        <v>3.9999999979045242E-2</v>
      </c>
      <c r="I95" s="394">
        <f t="shared" si="34"/>
        <v>-0.20000000001164153</v>
      </c>
      <c r="J95" s="394">
        <f t="shared" si="34"/>
        <v>4.0000000037252903E-2</v>
      </c>
      <c r="K95" s="394">
        <f t="shared" si="34"/>
        <v>8.0000000016298145E-2</v>
      </c>
      <c r="L95" s="394">
        <f t="shared" si="34"/>
        <v>0</v>
      </c>
      <c r="M95" s="394">
        <f t="shared" si="34"/>
        <v>0</v>
      </c>
      <c r="N95" s="394">
        <f>N11-N73</f>
        <v>-0.47999999998137355</v>
      </c>
      <c r="O95" s="394">
        <f t="shared" ref="O95:AB95" si="35">O11-O72</f>
        <v>0.47999999998137355</v>
      </c>
      <c r="P95" s="394">
        <f t="shared" si="35"/>
        <v>0.36000000010244548</v>
      </c>
      <c r="Q95" s="394" t="e">
        <f t="shared" si="35"/>
        <v>#REF!</v>
      </c>
      <c r="R95" s="394" t="e">
        <f t="shared" si="35"/>
        <v>#REF!</v>
      </c>
      <c r="S95" s="394" t="e">
        <f t="shared" si="35"/>
        <v>#REF!</v>
      </c>
      <c r="T95" s="394" t="e">
        <f t="shared" si="35"/>
        <v>#REF!</v>
      </c>
      <c r="U95" s="394" t="e">
        <f t="shared" si="35"/>
        <v>#REF!</v>
      </c>
      <c r="V95" s="394" t="e">
        <f t="shared" si="35"/>
        <v>#REF!</v>
      </c>
      <c r="W95" s="394" t="e">
        <f t="shared" si="35"/>
        <v>#REF!</v>
      </c>
      <c r="X95" s="394" t="e">
        <f t="shared" si="35"/>
        <v>#REF!</v>
      </c>
      <c r="Y95" s="394" t="e">
        <f t="shared" si="35"/>
        <v>#REF!</v>
      </c>
      <c r="Z95" s="394" t="e">
        <f t="shared" si="35"/>
        <v>#REF!</v>
      </c>
      <c r="AA95" s="394" t="e">
        <f t="shared" si="35"/>
        <v>#REF!</v>
      </c>
      <c r="AB95" s="394" t="e">
        <f t="shared" si="35"/>
        <v>#REF!</v>
      </c>
    </row>
    <row r="96" spans="1:28" ht="12.75" customHeight="1">
      <c r="A96" s="703" t="s">
        <v>135</v>
      </c>
      <c r="B96" s="703"/>
      <c r="C96" s="703"/>
      <c r="D96" s="356"/>
      <c r="E96" s="385">
        <f t="shared" ref="E96:AB96" si="36">E15-E77</f>
        <v>-10276.040000000008</v>
      </c>
      <c r="F96" s="395">
        <f t="shared" si="36"/>
        <v>47428.28</v>
      </c>
      <c r="G96" s="394">
        <f t="shared" si="36"/>
        <v>40279.479999999996</v>
      </c>
      <c r="H96" s="394">
        <f t="shared" si="36"/>
        <v>-185399.64</v>
      </c>
      <c r="I96" s="394">
        <f t="shared" si="36"/>
        <v>42411.64</v>
      </c>
      <c r="J96" s="394">
        <f t="shared" si="36"/>
        <v>1887.609999999986</v>
      </c>
      <c r="K96" s="394">
        <f t="shared" si="36"/>
        <v>-48736.679999999993</v>
      </c>
      <c r="L96" s="394">
        <f t="shared" si="36"/>
        <v>-120219.48000000004</v>
      </c>
      <c r="M96" s="394">
        <f t="shared" si="36"/>
        <v>21493</v>
      </c>
      <c r="N96" s="394">
        <f t="shared" si="36"/>
        <v>25768.079999999987</v>
      </c>
      <c r="O96" s="394">
        <f t="shared" si="36"/>
        <v>-60675.920000000013</v>
      </c>
      <c r="P96" s="394">
        <f t="shared" si="36"/>
        <v>-16500.760000000009</v>
      </c>
      <c r="Q96" s="394">
        <f t="shared" si="36"/>
        <v>-64293</v>
      </c>
      <c r="R96" s="394">
        <f t="shared" si="36"/>
        <v>-51329.369999999995</v>
      </c>
      <c r="S96" s="394">
        <f t="shared" si="36"/>
        <v>-11094.559999999998</v>
      </c>
      <c r="T96" s="394">
        <f t="shared" si="36"/>
        <v>-30197</v>
      </c>
      <c r="U96" s="394">
        <f t="shared" si="36"/>
        <v>-274398</v>
      </c>
      <c r="V96" s="394">
        <f t="shared" si="36"/>
        <v>-23263.640000000014</v>
      </c>
      <c r="W96" s="394">
        <f t="shared" si="36"/>
        <v>-49815.399999999994</v>
      </c>
      <c r="X96" s="394">
        <f t="shared" si="36"/>
        <v>109257.96</v>
      </c>
      <c r="Y96" s="394">
        <f t="shared" si="36"/>
        <v>-86756</v>
      </c>
      <c r="Z96" s="394">
        <f t="shared" si="36"/>
        <v>-4711</v>
      </c>
      <c r="AA96" s="394">
        <f t="shared" si="36"/>
        <v>39689</v>
      </c>
      <c r="AB96" s="394">
        <f t="shared" si="36"/>
        <v>-709451.43999999948</v>
      </c>
    </row>
    <row r="97" spans="1:28" ht="12.75" customHeight="1">
      <c r="A97" s="703" t="s">
        <v>117</v>
      </c>
      <c r="B97" s="703"/>
      <c r="C97" s="703"/>
      <c r="D97" s="356"/>
      <c r="E97" s="385">
        <v>-64182</v>
      </c>
      <c r="F97" s="395">
        <v>16691</v>
      </c>
      <c r="G97" s="394">
        <v>-17139</v>
      </c>
      <c r="H97" s="394">
        <v>35193</v>
      </c>
      <c r="I97" s="394">
        <f>'[3]8'!$B$45</f>
        <v>-5902.0521992709546</v>
      </c>
      <c r="J97" s="394">
        <v>-2293</v>
      </c>
      <c r="K97" s="394">
        <v>18221</v>
      </c>
      <c r="L97" s="394">
        <v>-45523</v>
      </c>
      <c r="M97" s="394">
        <v>-86261</v>
      </c>
      <c r="N97" s="394">
        <v>98032</v>
      </c>
      <c r="O97" s="394">
        <v>40255</v>
      </c>
      <c r="P97" s="394">
        <v>-5858</v>
      </c>
      <c r="Q97" s="394">
        <v>-1737</v>
      </c>
      <c r="R97" s="394">
        <v>59117</v>
      </c>
      <c r="S97" s="394">
        <v>71036</v>
      </c>
      <c r="T97" s="394">
        <v>-46685</v>
      </c>
      <c r="U97" s="394">
        <f>'[3]30'!$B$45</f>
        <v>12225.850000000002</v>
      </c>
      <c r="V97" s="394">
        <f>'[3]31'!$B$45</f>
        <v>15560.960000000001</v>
      </c>
      <c r="W97" s="394">
        <v>3546</v>
      </c>
      <c r="X97" s="394">
        <v>-57514</v>
      </c>
      <c r="Y97" s="394">
        <v>4092</v>
      </c>
      <c r="Z97" s="394">
        <v>20018</v>
      </c>
      <c r="AA97" s="394">
        <v>7234</v>
      </c>
      <c r="AB97" s="394">
        <f t="shared" ref="AB97" si="37">SUM(E97:AA97)</f>
        <v>68127.757800729058</v>
      </c>
    </row>
    <row r="98" spans="1:28" ht="12.75" customHeight="1">
      <c r="A98" s="703" t="s">
        <v>118</v>
      </c>
      <c r="B98" s="703"/>
      <c r="C98" s="703"/>
      <c r="D98" s="356"/>
      <c r="E98" s="385">
        <f>E97+E96+E95</f>
        <v>-74458.040000000008</v>
      </c>
      <c r="F98" s="395">
        <f t="shared" ref="F98:AB98" si="38">F97+F96</f>
        <v>64119.28</v>
      </c>
      <c r="G98" s="394">
        <f t="shared" si="38"/>
        <v>23140.479999999996</v>
      </c>
      <c r="H98" s="394">
        <f t="shared" si="38"/>
        <v>-150206.64000000001</v>
      </c>
      <c r="I98" s="394">
        <f t="shared" si="38"/>
        <v>36509.587800729045</v>
      </c>
      <c r="J98" s="394">
        <f t="shared" si="38"/>
        <v>-405.39000000001397</v>
      </c>
      <c r="K98" s="394">
        <f t="shared" si="38"/>
        <v>-30515.679999999993</v>
      </c>
      <c r="L98" s="394">
        <f t="shared" si="38"/>
        <v>-165742.48000000004</v>
      </c>
      <c r="M98" s="394">
        <f t="shared" si="38"/>
        <v>-64768</v>
      </c>
      <c r="N98" s="394">
        <f t="shared" si="38"/>
        <v>123800.07999999999</v>
      </c>
      <c r="O98" s="394">
        <f t="shared" si="38"/>
        <v>-20420.920000000013</v>
      </c>
      <c r="P98" s="394">
        <f t="shared" si="38"/>
        <v>-22358.760000000009</v>
      </c>
      <c r="Q98" s="394">
        <f t="shared" si="38"/>
        <v>-66030</v>
      </c>
      <c r="R98" s="394">
        <f t="shared" si="38"/>
        <v>7787.6300000000047</v>
      </c>
      <c r="S98" s="394">
        <f t="shared" si="38"/>
        <v>59941.440000000002</v>
      </c>
      <c r="T98" s="394">
        <f t="shared" si="38"/>
        <v>-76882</v>
      </c>
      <c r="U98" s="394">
        <f t="shared" si="38"/>
        <v>-262172.15000000002</v>
      </c>
      <c r="V98" s="394">
        <f t="shared" si="38"/>
        <v>-7702.680000000013</v>
      </c>
      <c r="W98" s="394">
        <f t="shared" si="38"/>
        <v>-46269.399999999994</v>
      </c>
      <c r="X98" s="394">
        <f t="shared" si="38"/>
        <v>51743.960000000006</v>
      </c>
      <c r="Y98" s="394">
        <f t="shared" si="38"/>
        <v>-82664</v>
      </c>
      <c r="Z98" s="394">
        <f t="shared" si="38"/>
        <v>15307</v>
      </c>
      <c r="AA98" s="394">
        <f t="shared" si="38"/>
        <v>46923</v>
      </c>
      <c r="AB98" s="394">
        <f t="shared" si="38"/>
        <v>-641323.68219927046</v>
      </c>
    </row>
    <row r="99" spans="1:28" ht="12.75" customHeight="1">
      <c r="A99" s="704" t="s">
        <v>99</v>
      </c>
      <c r="B99" s="704"/>
      <c r="C99" s="704"/>
      <c r="D99" s="356"/>
      <c r="E99" s="385">
        <f t="shared" ref="E99:AB99" si="39">E28-E6</f>
        <v>-509475</v>
      </c>
      <c r="F99" s="395">
        <f t="shared" si="39"/>
        <v>-527807</v>
      </c>
      <c r="G99" s="394">
        <f t="shared" si="39"/>
        <v>-492434</v>
      </c>
      <c r="H99" s="394">
        <f t="shared" si="39"/>
        <v>-441672</v>
      </c>
      <c r="I99" s="394">
        <f t="shared" si="39"/>
        <v>-572463</v>
      </c>
      <c r="J99" s="394">
        <f t="shared" si="39"/>
        <v>-700139</v>
      </c>
      <c r="K99" s="394">
        <f t="shared" si="39"/>
        <v>-436590</v>
      </c>
      <c r="L99" s="394">
        <f t="shared" si="39"/>
        <v>-753351</v>
      </c>
      <c r="M99" s="394">
        <f t="shared" si="39"/>
        <v>-216825</v>
      </c>
      <c r="N99" s="394">
        <f t="shared" si="39"/>
        <v>-546149</v>
      </c>
      <c r="O99" s="394">
        <f t="shared" si="39"/>
        <v>-340773</v>
      </c>
      <c r="P99" s="394">
        <f t="shared" si="39"/>
        <v>-712992</v>
      </c>
      <c r="Q99" s="394">
        <f t="shared" si="39"/>
        <v>-794883</v>
      </c>
      <c r="R99" s="394">
        <f t="shared" si="39"/>
        <v>-714634</v>
      </c>
      <c r="S99" s="394">
        <f t="shared" si="39"/>
        <v>-625574</v>
      </c>
      <c r="T99" s="394">
        <f t="shared" si="39"/>
        <v>-570814</v>
      </c>
      <c r="U99" s="394">
        <f t="shared" si="39"/>
        <v>-766561</v>
      </c>
      <c r="V99" s="394">
        <f t="shared" si="39"/>
        <v>-590254</v>
      </c>
      <c r="W99" s="394">
        <f t="shared" si="39"/>
        <v>-335904</v>
      </c>
      <c r="X99" s="394">
        <f t="shared" si="39"/>
        <v>-556220</v>
      </c>
      <c r="Y99" s="394">
        <f t="shared" si="39"/>
        <v>-751360</v>
      </c>
      <c r="Z99" s="394">
        <f t="shared" si="39"/>
        <v>-611684</v>
      </c>
      <c r="AA99" s="394">
        <f t="shared" si="39"/>
        <v>-246398</v>
      </c>
      <c r="AB99" s="394">
        <f t="shared" si="39"/>
        <v>-12814956</v>
      </c>
    </row>
    <row r="100" spans="1:28" hidden="1">
      <c r="A100" s="698" t="s">
        <v>99</v>
      </c>
      <c r="B100" s="698"/>
      <c r="C100" s="698"/>
      <c r="D100" s="416"/>
      <c r="E100" s="369">
        <f>-(E98-E99)</f>
        <v>-435016.95999999996</v>
      </c>
      <c r="F100" s="214">
        <f>F98-F99</f>
        <v>591926.28</v>
      </c>
      <c r="G100" s="214">
        <f>G98-G99</f>
        <v>515574.48</v>
      </c>
      <c r="H100" s="394">
        <f>SUM(H95:H99)</f>
        <v>-742085.24</v>
      </c>
      <c r="I100" s="394">
        <f t="shared" ref="I100:AB100" si="40">I98-I99</f>
        <v>608972.58780072909</v>
      </c>
      <c r="J100" s="394">
        <f t="shared" si="40"/>
        <v>699733.61</v>
      </c>
      <c r="K100" s="394">
        <f t="shared" si="40"/>
        <v>406074.32</v>
      </c>
      <c r="L100" s="394">
        <f t="shared" si="40"/>
        <v>587608.52</v>
      </c>
      <c r="M100" s="394">
        <f t="shared" si="40"/>
        <v>152057</v>
      </c>
      <c r="N100" s="394">
        <f t="shared" si="40"/>
        <v>669949.07999999996</v>
      </c>
      <c r="O100" s="394">
        <f t="shared" si="40"/>
        <v>320352.07999999996</v>
      </c>
      <c r="P100" s="394">
        <f t="shared" si="40"/>
        <v>690633.24</v>
      </c>
      <c r="Q100" s="394">
        <f t="shared" si="40"/>
        <v>728853</v>
      </c>
      <c r="R100" s="394">
        <f t="shared" si="40"/>
        <v>722421.63</v>
      </c>
      <c r="S100" s="394">
        <f t="shared" si="40"/>
        <v>685515.44</v>
      </c>
      <c r="T100" s="394">
        <f t="shared" si="40"/>
        <v>493932</v>
      </c>
      <c r="U100" s="394">
        <f t="shared" si="40"/>
        <v>504388.85</v>
      </c>
      <c r="V100" s="394">
        <f t="shared" si="40"/>
        <v>582551.31999999995</v>
      </c>
      <c r="W100" s="394">
        <f t="shared" si="40"/>
        <v>289634.59999999998</v>
      </c>
      <c r="X100" s="394">
        <f t="shared" si="40"/>
        <v>607963.96</v>
      </c>
      <c r="Y100" s="394">
        <f t="shared" si="40"/>
        <v>668696</v>
      </c>
      <c r="Z100" s="394">
        <f t="shared" si="40"/>
        <v>626991</v>
      </c>
      <c r="AA100" s="394">
        <f t="shared" si="40"/>
        <v>293321</v>
      </c>
      <c r="AB100" s="394">
        <f t="shared" si="40"/>
        <v>12173632.31780073</v>
      </c>
    </row>
    <row r="101" spans="1:28" hidden="1">
      <c r="A101" s="699" t="s">
        <v>113</v>
      </c>
      <c r="B101" s="699"/>
      <c r="C101" s="699"/>
      <c r="D101" s="416"/>
      <c r="E101" s="383">
        <f t="shared" ref="E101:AB101" si="41">E16-E83</f>
        <v>0</v>
      </c>
      <c r="F101" s="191">
        <f t="shared" si="41"/>
        <v>0</v>
      </c>
      <c r="G101" s="191">
        <f t="shared" si="41"/>
        <v>0</v>
      </c>
      <c r="H101" s="338">
        <f t="shared" si="41"/>
        <v>0</v>
      </c>
      <c r="I101" s="338">
        <f t="shared" si="41"/>
        <v>0</v>
      </c>
      <c r="J101" s="191">
        <f t="shared" si="41"/>
        <v>0</v>
      </c>
      <c r="K101" s="338">
        <f t="shared" si="41"/>
        <v>0</v>
      </c>
      <c r="L101" s="338">
        <f t="shared" si="41"/>
        <v>0</v>
      </c>
      <c r="M101" s="338">
        <f t="shared" si="41"/>
        <v>0</v>
      </c>
      <c r="N101" s="338">
        <f t="shared" si="41"/>
        <v>0</v>
      </c>
      <c r="O101" s="338">
        <f t="shared" si="41"/>
        <v>0</v>
      </c>
      <c r="P101" s="342">
        <f t="shared" si="41"/>
        <v>0</v>
      </c>
      <c r="Q101" s="341">
        <f t="shared" si="41"/>
        <v>0</v>
      </c>
      <c r="R101" s="191">
        <f t="shared" si="41"/>
        <v>0</v>
      </c>
      <c r="S101" s="191">
        <f t="shared" si="41"/>
        <v>0</v>
      </c>
      <c r="T101" s="191">
        <f t="shared" si="41"/>
        <v>0</v>
      </c>
      <c r="U101" s="191">
        <f t="shared" si="41"/>
        <v>0</v>
      </c>
      <c r="V101" s="191">
        <f t="shared" si="41"/>
        <v>0</v>
      </c>
      <c r="W101" s="191">
        <f t="shared" si="41"/>
        <v>0</v>
      </c>
      <c r="X101" s="191">
        <f t="shared" si="41"/>
        <v>0</v>
      </c>
      <c r="Y101" s="191">
        <f t="shared" si="41"/>
        <v>0</v>
      </c>
      <c r="Z101" s="191">
        <f t="shared" si="41"/>
        <v>0</v>
      </c>
      <c r="AA101" s="191">
        <f t="shared" si="41"/>
        <v>0</v>
      </c>
      <c r="AB101" s="191">
        <f t="shared" si="41"/>
        <v>0</v>
      </c>
    </row>
    <row r="102" spans="1:28">
      <c r="A102" s="503" t="s">
        <v>114</v>
      </c>
      <c r="B102" s="503"/>
      <c r="C102" s="503"/>
      <c r="D102" s="416"/>
      <c r="E102" s="384">
        <f>E17-E87</f>
        <v>0</v>
      </c>
      <c r="F102" s="192">
        <f t="shared" ref="F102:L102" si="42">F17-F88</f>
        <v>0</v>
      </c>
      <c r="G102" s="192">
        <f t="shared" si="42"/>
        <v>0</v>
      </c>
      <c r="H102" s="192">
        <f t="shared" si="42"/>
        <v>0</v>
      </c>
      <c r="I102" s="192">
        <f t="shared" si="42"/>
        <v>0</v>
      </c>
      <c r="J102" s="192">
        <f t="shared" si="42"/>
        <v>0</v>
      </c>
      <c r="K102" s="192">
        <f t="shared" si="42"/>
        <v>0</v>
      </c>
      <c r="L102" s="192">
        <f t="shared" si="42"/>
        <v>0</v>
      </c>
      <c r="M102" s="339">
        <f>M39-M88</f>
        <v>-240533</v>
      </c>
      <c r="N102" s="348">
        <f>(N39+N40)-N88</f>
        <v>-346354.8600000001</v>
      </c>
      <c r="O102" s="339">
        <f>O39-O88</f>
        <v>7603.320000000007</v>
      </c>
      <c r="P102" s="192">
        <f t="shared" ref="P102:AB102" si="43">P17-P88</f>
        <v>0</v>
      </c>
      <c r="Q102" s="192">
        <f t="shared" si="43"/>
        <v>0</v>
      </c>
      <c r="R102" s="192">
        <f t="shared" si="43"/>
        <v>0</v>
      </c>
      <c r="S102" s="192">
        <f t="shared" si="43"/>
        <v>0</v>
      </c>
      <c r="T102" s="192">
        <f t="shared" si="43"/>
        <v>0</v>
      </c>
      <c r="U102" s="192">
        <f t="shared" si="43"/>
        <v>0</v>
      </c>
      <c r="V102" s="192">
        <f t="shared" si="43"/>
        <v>0</v>
      </c>
      <c r="W102" s="192">
        <f t="shared" si="43"/>
        <v>0</v>
      </c>
      <c r="X102" s="192">
        <f t="shared" si="43"/>
        <v>0</v>
      </c>
      <c r="Y102" s="192">
        <f t="shared" si="43"/>
        <v>0</v>
      </c>
      <c r="Z102" s="192">
        <f t="shared" si="43"/>
        <v>0</v>
      </c>
      <c r="AA102" s="192">
        <f t="shared" si="43"/>
        <v>0</v>
      </c>
      <c r="AB102" s="192">
        <f t="shared" si="43"/>
        <v>-1586287.54</v>
      </c>
    </row>
    <row r="103" spans="1:28">
      <c r="A103" s="700" t="s">
        <v>173</v>
      </c>
      <c r="B103" s="701"/>
      <c r="C103" s="702"/>
      <c r="E103" s="414">
        <f>E18-E91</f>
        <v>0</v>
      </c>
      <c r="F103" s="415">
        <f t="shared" ref="F103:L103" si="44">F18-F92</f>
        <v>-39562.82</v>
      </c>
      <c r="G103" s="415">
        <f t="shared" si="44"/>
        <v>-40969.68</v>
      </c>
      <c r="H103" s="415">
        <f t="shared" si="44"/>
        <v>-40968.660000000003</v>
      </c>
      <c r="I103" s="415">
        <f t="shared" si="44"/>
        <v>-46357.120000000003</v>
      </c>
      <c r="J103" s="415">
        <f t="shared" si="44"/>
        <v>-55384.9</v>
      </c>
      <c r="K103" s="415">
        <f t="shared" si="44"/>
        <v>-42755.28</v>
      </c>
      <c r="L103" s="415">
        <f t="shared" si="44"/>
        <v>-60725.86</v>
      </c>
      <c r="M103" s="415">
        <f>M18-M91</f>
        <v>0</v>
      </c>
      <c r="N103" s="415">
        <f>N18-N91</f>
        <v>0</v>
      </c>
      <c r="O103" s="415">
        <f t="shared" ref="O103:AB103" si="45">O18-O92</f>
        <v>-62436.76</v>
      </c>
      <c r="P103" s="415">
        <f t="shared" si="45"/>
        <v>-57376.880000000005</v>
      </c>
      <c r="Q103" s="415">
        <f t="shared" si="45"/>
        <v>-60815.82</v>
      </c>
      <c r="R103" s="415">
        <f t="shared" si="45"/>
        <v>-57755.880000000005</v>
      </c>
      <c r="S103" s="415">
        <f t="shared" si="45"/>
        <v>-56674.44</v>
      </c>
      <c r="T103" s="415">
        <f t="shared" si="45"/>
        <v>-52582.200000000004</v>
      </c>
      <c r="U103" s="415">
        <f t="shared" si="45"/>
        <v>-58275.86</v>
      </c>
      <c r="V103" s="415">
        <f t="shared" si="45"/>
        <v>-58788.78</v>
      </c>
      <c r="W103" s="415">
        <f t="shared" si="45"/>
        <v>-36320.14</v>
      </c>
      <c r="X103" s="415">
        <f t="shared" si="45"/>
        <v>-50800.800000000003</v>
      </c>
      <c r="Y103" s="415">
        <f t="shared" si="45"/>
        <v>-49223.3</v>
      </c>
      <c r="Z103" s="415">
        <f t="shared" si="45"/>
        <v>-33355.520000000004</v>
      </c>
      <c r="AA103" s="415">
        <f t="shared" si="45"/>
        <v>-13615.08</v>
      </c>
      <c r="AB103" s="415">
        <f t="shared" si="45"/>
        <v>-1134150.28</v>
      </c>
    </row>
    <row r="104" spans="1:28">
      <c r="F104" s="78"/>
      <c r="G104" s="78"/>
      <c r="H104" s="78"/>
      <c r="I104" s="78"/>
      <c r="J104" s="78"/>
      <c r="K104" s="78"/>
      <c r="L104" s="78"/>
      <c r="M104" s="78"/>
      <c r="P104" s="81"/>
      <c r="Q104" s="81"/>
      <c r="R104" s="81"/>
      <c r="S104" s="81"/>
      <c r="T104" s="81"/>
      <c r="U104" s="81"/>
      <c r="V104" s="81"/>
      <c r="W104" s="81"/>
      <c r="X104" s="408"/>
      <c r="Y104" s="81"/>
      <c r="Z104" s="81"/>
      <c r="AA104" s="81"/>
    </row>
    <row r="105" spans="1:28">
      <c r="F105" s="351"/>
      <c r="G105" s="351"/>
      <c r="H105" s="351"/>
      <c r="I105" s="408"/>
      <c r="J105" s="81"/>
      <c r="K105" s="81"/>
      <c r="L105" s="408"/>
      <c r="M105" s="81"/>
      <c r="N105" s="78"/>
      <c r="O105" s="78"/>
      <c r="P105" s="408"/>
      <c r="Q105" s="408"/>
      <c r="R105" s="408"/>
      <c r="S105" s="408"/>
      <c r="T105" s="408"/>
      <c r="U105" s="408"/>
      <c r="V105" s="408"/>
      <c r="W105" s="408"/>
      <c r="X105" s="409"/>
      <c r="Y105" s="81"/>
      <c r="Z105" s="408"/>
      <c r="AA105" s="408"/>
    </row>
    <row r="106" spans="1:28">
      <c r="F106" s="352"/>
      <c r="G106" s="352"/>
      <c r="H106" s="352"/>
      <c r="I106" s="409"/>
      <c r="J106" s="81"/>
      <c r="K106" s="408"/>
      <c r="L106" s="409"/>
      <c r="M106" s="408"/>
      <c r="N106" s="81"/>
      <c r="O106" s="81"/>
      <c r="P106" s="409"/>
      <c r="Q106" s="409"/>
      <c r="R106" s="409"/>
      <c r="S106" s="409"/>
      <c r="T106" s="409"/>
      <c r="U106" s="409"/>
      <c r="V106" s="409"/>
      <c r="W106" s="409"/>
      <c r="X106" s="408"/>
      <c r="Y106" s="408"/>
      <c r="Z106" s="409"/>
      <c r="AA106" s="409"/>
    </row>
    <row r="107" spans="1:28">
      <c r="F107" s="351"/>
      <c r="G107" s="351"/>
      <c r="H107" s="351"/>
      <c r="I107" s="408"/>
      <c r="J107" s="408"/>
      <c r="K107" s="409"/>
      <c r="L107" s="408"/>
      <c r="M107" s="409"/>
      <c r="N107" s="408"/>
      <c r="O107" s="408"/>
      <c r="P107" s="408"/>
      <c r="Q107" s="408"/>
      <c r="R107" s="408"/>
      <c r="S107" s="408"/>
      <c r="T107" s="408"/>
      <c r="U107" s="408"/>
      <c r="V107" s="408"/>
      <c r="W107" s="408"/>
      <c r="X107" s="83"/>
      <c r="Y107" s="409"/>
      <c r="Z107" s="408"/>
      <c r="AA107" s="408"/>
    </row>
    <row r="108" spans="1:28">
      <c r="F108" s="78"/>
      <c r="G108" s="78"/>
      <c r="H108" s="78"/>
      <c r="I108" s="78"/>
      <c r="J108" s="409"/>
      <c r="K108" s="408"/>
      <c r="L108" s="78"/>
      <c r="M108" s="408"/>
      <c r="N108" s="409"/>
      <c r="O108" s="409"/>
      <c r="P108" s="78"/>
      <c r="Q108" s="78"/>
      <c r="R108" s="78"/>
      <c r="S108" s="78"/>
      <c r="T108" s="78"/>
      <c r="U108" s="78"/>
      <c r="V108" s="78"/>
      <c r="W108" s="78"/>
      <c r="X108"/>
      <c r="Y108" s="408"/>
      <c r="Z108" s="78"/>
      <c r="AA108" s="78"/>
    </row>
    <row r="109" spans="1:28">
      <c r="F109" s="350"/>
      <c r="G109" s="350"/>
      <c r="H109" s="350"/>
      <c r="I109" s="350"/>
      <c r="J109" s="408"/>
      <c r="K109" s="78"/>
      <c r="L109" s="350"/>
      <c r="M109" s="78"/>
      <c r="N109" s="408"/>
      <c r="O109" s="408"/>
      <c r="P109" s="350"/>
      <c r="Q109" s="350"/>
      <c r="R109" s="350"/>
      <c r="S109" s="350"/>
      <c r="T109" s="350"/>
      <c r="U109" s="350"/>
      <c r="V109" s="350"/>
      <c r="W109" s="350"/>
      <c r="X109"/>
      <c r="Y109" s="78"/>
      <c r="Z109" s="350"/>
      <c r="AA109" s="350"/>
    </row>
    <row r="110" spans="1:28">
      <c r="F110" s="350"/>
      <c r="G110" s="350"/>
      <c r="H110" s="350"/>
      <c r="I110" s="350"/>
      <c r="J110" s="78"/>
      <c r="K110" s="350"/>
      <c r="L110" s="350"/>
      <c r="M110" s="350"/>
      <c r="N110" s="78"/>
      <c r="O110" s="78"/>
      <c r="P110" s="350"/>
      <c r="Q110" s="350"/>
      <c r="R110" s="350"/>
      <c r="S110" s="350"/>
      <c r="T110" s="350"/>
      <c r="U110" s="350"/>
      <c r="V110" s="350"/>
      <c r="W110" s="350"/>
      <c r="X110"/>
      <c r="Y110" s="350"/>
      <c r="Z110" s="350"/>
      <c r="AA110" s="350"/>
    </row>
    <row r="111" spans="1:28">
      <c r="F111" s="350"/>
      <c r="G111" s="350"/>
      <c r="H111" s="350"/>
      <c r="I111" s="350"/>
      <c r="J111" s="350"/>
      <c r="K111" s="350"/>
      <c r="L111" s="350"/>
      <c r="M111" s="350"/>
      <c r="N111" s="350"/>
      <c r="O111" s="350"/>
      <c r="P111" s="350"/>
      <c r="Q111" s="350"/>
      <c r="R111" s="350"/>
      <c r="S111" s="350"/>
      <c r="T111" s="350"/>
      <c r="U111" s="350"/>
      <c r="V111" s="350"/>
      <c r="W111" s="350"/>
      <c r="X111" s="90"/>
      <c r="Y111" s="350"/>
      <c r="Z111" s="350"/>
      <c r="AA111" s="350"/>
    </row>
    <row r="112" spans="1:28">
      <c r="F112" s="90"/>
      <c r="G112" s="90"/>
      <c r="H112" s="90"/>
      <c r="I112" s="90"/>
      <c r="J112" s="350"/>
      <c r="K112" s="350"/>
      <c r="L112" s="90"/>
      <c r="M112" s="350"/>
      <c r="N112" s="350"/>
      <c r="O112" s="350"/>
      <c r="Y112" s="350"/>
    </row>
    <row r="113" spans="10:15">
      <c r="J113" s="350"/>
      <c r="N113" s="350"/>
      <c r="O113" s="350"/>
    </row>
  </sheetData>
  <mergeCells count="168">
    <mergeCell ref="A9:C9"/>
    <mergeCell ref="A11:C11"/>
    <mergeCell ref="A13:C13"/>
    <mergeCell ref="A14:C14"/>
    <mergeCell ref="E6:E7"/>
    <mergeCell ref="A31:C31"/>
    <mergeCell ref="A33:C33"/>
    <mergeCell ref="A28:C29"/>
    <mergeCell ref="E28:E29"/>
    <mergeCell ref="A30:E30"/>
    <mergeCell ref="A32:C32"/>
    <mergeCell ref="A15:C15"/>
    <mergeCell ref="A16:C16"/>
    <mergeCell ref="A18:C18"/>
    <mergeCell ref="A19:E19"/>
    <mergeCell ref="A95:C95"/>
    <mergeCell ref="A96:C96"/>
    <mergeCell ref="A97:C97"/>
    <mergeCell ref="A54:C54"/>
    <mergeCell ref="A87:C87"/>
    <mergeCell ref="A89:E89"/>
    <mergeCell ref="A91:C91"/>
    <mergeCell ref="A88:C88"/>
    <mergeCell ref="A90:C90"/>
    <mergeCell ref="A92:C92"/>
    <mergeCell ref="A81:C81"/>
    <mergeCell ref="A83:C83"/>
    <mergeCell ref="A84:C84"/>
    <mergeCell ref="A85:C85"/>
    <mergeCell ref="A74:C74"/>
    <mergeCell ref="A75:C75"/>
    <mergeCell ref="A77:C77"/>
    <mergeCell ref="A79:C79"/>
    <mergeCell ref="A67:C67"/>
    <mergeCell ref="A68:C68"/>
    <mergeCell ref="A69:C69"/>
    <mergeCell ref="A70:C70"/>
    <mergeCell ref="A72:C72"/>
    <mergeCell ref="A61:C61"/>
    <mergeCell ref="A51:C52"/>
    <mergeCell ref="E51:E52"/>
    <mergeCell ref="A6:C7"/>
    <mergeCell ref="D6:D7"/>
    <mergeCell ref="A8:E8"/>
    <mergeCell ref="A10:C10"/>
    <mergeCell ref="A12:E12"/>
    <mergeCell ref="A17:C17"/>
    <mergeCell ref="A93:C93"/>
    <mergeCell ref="A62:C62"/>
    <mergeCell ref="A63:C63"/>
    <mergeCell ref="A64:C64"/>
    <mergeCell ref="A65:C65"/>
    <mergeCell ref="A66:C66"/>
    <mergeCell ref="A55:C55"/>
    <mergeCell ref="A56:C56"/>
    <mergeCell ref="A57:C57"/>
    <mergeCell ref="A58:C58"/>
    <mergeCell ref="A59:C59"/>
    <mergeCell ref="A60:C60"/>
    <mergeCell ref="A35:C35"/>
    <mergeCell ref="A36:C36"/>
    <mergeCell ref="A37:C37"/>
    <mergeCell ref="A38:C38"/>
    <mergeCell ref="G6:G7"/>
    <mergeCell ref="G28:G29"/>
    <mergeCell ref="G51:G52"/>
    <mergeCell ref="H6:H7"/>
    <mergeCell ref="H28:H29"/>
    <mergeCell ref="H51:H52"/>
    <mergeCell ref="A98:C98"/>
    <mergeCell ref="A99:C99"/>
    <mergeCell ref="A82:C82"/>
    <mergeCell ref="F6:F7"/>
    <mergeCell ref="F28:F29"/>
    <mergeCell ref="F51:F52"/>
    <mergeCell ref="A23:C23"/>
    <mergeCell ref="A24:C24"/>
    <mergeCell ref="A53:E53"/>
    <mergeCell ref="A71:C71"/>
    <mergeCell ref="A73:E73"/>
    <mergeCell ref="A76:C76"/>
    <mergeCell ref="A78:E78"/>
    <mergeCell ref="A34:E34"/>
    <mergeCell ref="A39:C39"/>
    <mergeCell ref="A40:C40"/>
    <mergeCell ref="A41:E41"/>
    <mergeCell ref="A49:C49"/>
    <mergeCell ref="L6:L7"/>
    <mergeCell ref="L28:L29"/>
    <mergeCell ref="L51:L52"/>
    <mergeCell ref="I6:I7"/>
    <mergeCell ref="I28:I29"/>
    <mergeCell ref="I51:I52"/>
    <mergeCell ref="J6:J7"/>
    <mergeCell ref="J28:J29"/>
    <mergeCell ref="J51:J52"/>
    <mergeCell ref="A100:C100"/>
    <mergeCell ref="A101:C101"/>
    <mergeCell ref="A102:C102"/>
    <mergeCell ref="A103:C103"/>
    <mergeCell ref="Q6:Q7"/>
    <mergeCell ref="Q28:Q29"/>
    <mergeCell ref="Q51:Q52"/>
    <mergeCell ref="A20:C20"/>
    <mergeCell ref="A21:C21"/>
    <mergeCell ref="A22:C22"/>
    <mergeCell ref="M6:M7"/>
    <mergeCell ref="M28:M29"/>
    <mergeCell ref="M51:M52"/>
    <mergeCell ref="A42:C42"/>
    <mergeCell ref="A43:C43"/>
    <mergeCell ref="A44:C44"/>
    <mergeCell ref="A45:C45"/>
    <mergeCell ref="A46:C46"/>
    <mergeCell ref="A47:C47"/>
    <mergeCell ref="A48:C48"/>
    <mergeCell ref="P6:P7"/>
    <mergeCell ref="P28:P29"/>
    <mergeCell ref="P51:P52"/>
    <mergeCell ref="N6:N7"/>
    <mergeCell ref="A4:C4"/>
    <mergeCell ref="A5:C5"/>
    <mergeCell ref="Y6:Y7"/>
    <mergeCell ref="Y28:Y29"/>
    <mergeCell ref="Y51:Y52"/>
    <mergeCell ref="Z6:Z7"/>
    <mergeCell ref="Z28:Z29"/>
    <mergeCell ref="Z51:Z52"/>
    <mergeCell ref="A25:C25"/>
    <mergeCell ref="A26:C26"/>
    <mergeCell ref="U6:U7"/>
    <mergeCell ref="U28:U29"/>
    <mergeCell ref="U51:U52"/>
    <mergeCell ref="V6:V7"/>
    <mergeCell ref="V28:V29"/>
    <mergeCell ref="V51:V52"/>
    <mergeCell ref="W6:W7"/>
    <mergeCell ref="W28:W29"/>
    <mergeCell ref="W51:W52"/>
    <mergeCell ref="X6:X7"/>
    <mergeCell ref="X28:X29"/>
    <mergeCell ref="X51:X52"/>
    <mergeCell ref="S6:S7"/>
    <mergeCell ref="S28:S29"/>
    <mergeCell ref="AB6:AB7"/>
    <mergeCell ref="AB51:AB52"/>
    <mergeCell ref="AB28:AB29"/>
    <mergeCell ref="A50:C50"/>
    <mergeCell ref="A27:C27"/>
    <mergeCell ref="AA6:AA7"/>
    <mergeCell ref="AA28:AA29"/>
    <mergeCell ref="AA51:AA52"/>
    <mergeCell ref="A94:C94"/>
    <mergeCell ref="S51:S52"/>
    <mergeCell ref="T6:T7"/>
    <mergeCell ref="T28:T29"/>
    <mergeCell ref="T51:T52"/>
    <mergeCell ref="R6:R7"/>
    <mergeCell ref="R28:R29"/>
    <mergeCell ref="R51:R52"/>
    <mergeCell ref="N28:N29"/>
    <mergeCell ref="N51:N52"/>
    <mergeCell ref="O6:O7"/>
    <mergeCell ref="O28:O29"/>
    <mergeCell ref="O51:O52"/>
    <mergeCell ref="K6:K7"/>
    <mergeCell ref="K28:K29"/>
    <mergeCell ref="K51:K52"/>
  </mergeCells>
  <pageMargins left="0.51181102362204722" right="0.11811023622047245" top="0.15748031496062992" bottom="0.15748031496062992" header="0.31496062992125984" footer="0.31496062992125984"/>
  <pageSetup paperSize="9" scale="7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образец 2-в</vt:lpstr>
      <vt:lpstr>кабель, реклама</vt:lpstr>
      <vt:lpstr>шаблон (3)</vt:lpstr>
      <vt:lpstr>шаблон</vt:lpstr>
      <vt:lpstr>сводная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2013-04-03T06:21:25Z</dcterms:modified>
</cp:coreProperties>
</file>