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7935" activeTab="1"/>
  </bookViews>
  <sheets>
    <sheet name="сбор" sheetId="1" r:id="rId1"/>
    <sheet name="затраты" sheetId="4" r:id="rId2"/>
    <sheet name="доходы" sheetId="7" state="hidden" r:id="rId3"/>
    <sheet name="сравнит таблица" sheetId="8" state="hidden" r:id="rId4"/>
    <sheet name="Лист2" sheetId="13" state="hidden" r:id="rId5"/>
  </sheets>
  <calcPr calcId="124519"/>
</workbook>
</file>

<file path=xl/calcChain.xml><?xml version="1.0" encoding="utf-8"?>
<calcChain xmlns="http://schemas.openxmlformats.org/spreadsheetml/2006/main">
  <c r="X7" i="4"/>
  <c r="X8"/>
  <c r="X9"/>
  <c r="X10"/>
  <c r="X11"/>
  <c r="X12"/>
  <c r="X13"/>
  <c r="X14"/>
  <c r="X15"/>
  <c r="X16"/>
  <c r="X17"/>
  <c r="X18"/>
  <c r="X6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C19"/>
  <c r="T7"/>
  <c r="T8"/>
  <c r="T9"/>
  <c r="T10"/>
  <c r="T11"/>
  <c r="T12"/>
  <c r="T13"/>
  <c r="T14"/>
  <c r="T15"/>
  <c r="T16"/>
  <c r="T17"/>
  <c r="T6"/>
  <c r="D15" i="1"/>
  <c r="C15"/>
  <c r="D16"/>
  <c r="C16"/>
  <c r="U7" i="4"/>
  <c r="U8"/>
  <c r="U9"/>
  <c r="U10"/>
  <c r="U11"/>
  <c r="U12"/>
  <c r="U13"/>
  <c r="U14"/>
  <c r="U15"/>
  <c r="U16"/>
  <c r="U17"/>
  <c r="U6"/>
  <c r="F9"/>
  <c r="F10"/>
  <c r="F11"/>
  <c r="F12"/>
  <c r="F13"/>
  <c r="F14"/>
  <c r="F15"/>
  <c r="F16"/>
  <c r="F17"/>
  <c r="E6"/>
  <c r="E7"/>
  <c r="M7"/>
  <c r="R7"/>
  <c r="W7"/>
  <c r="E8"/>
  <c r="W8"/>
  <c r="E9"/>
  <c r="W9"/>
  <c r="E10"/>
  <c r="M10"/>
  <c r="W10"/>
  <c r="E11"/>
  <c r="W11"/>
  <c r="E12"/>
  <c r="W12"/>
  <c r="E13"/>
  <c r="W13"/>
  <c r="E14"/>
  <c r="W14"/>
  <c r="E15"/>
  <c r="M15"/>
  <c r="W15"/>
  <c r="E16"/>
  <c r="W16"/>
  <c r="E17"/>
  <c r="O17"/>
  <c r="W17"/>
  <c r="X19" l="1"/>
  <c r="E15" i="1"/>
  <c r="E16"/>
  <c r="D23" i="7" l="1"/>
  <c r="C27" l="1"/>
  <c r="D22" l="1"/>
  <c r="D21"/>
  <c r="D20"/>
  <c r="D19"/>
  <c r="D18"/>
  <c r="D17"/>
  <c r="D16"/>
  <c r="D15"/>
  <c r="D14"/>
  <c r="D13"/>
  <c r="D12"/>
  <c r="D11"/>
  <c r="D24" l="1"/>
</calcChain>
</file>

<file path=xl/sharedStrings.xml><?xml version="1.0" encoding="utf-8"?>
<sst xmlns="http://schemas.openxmlformats.org/spreadsheetml/2006/main" count="108" uniqueCount="89">
  <si>
    <t>январь</t>
  </si>
  <si>
    <t>начисление</t>
  </si>
  <si>
    <t>сбор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</si>
  <si>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</si>
  <si>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</si>
  <si>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</si>
  <si>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</si>
  <si>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</si>
  <si>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</si>
  <si>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</si>
  <si>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</si>
  <si>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</si>
  <si>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</si>
  <si>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</si>
  <si>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</si>
  <si>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обслуж</t>
  </si>
  <si>
    <t>лифта</t>
  </si>
  <si>
    <t>есн</t>
  </si>
  <si>
    <t>% сбора</t>
  </si>
  <si>
    <t>итого за год</t>
  </si>
  <si>
    <t>офисы</t>
  </si>
  <si>
    <t xml:space="preserve">перерасчет тепловой </t>
  </si>
  <si>
    <t>энергии за 2009 год</t>
  </si>
  <si>
    <t>ВСЕГО ДОХОДА</t>
  </si>
  <si>
    <t>Период</t>
  </si>
  <si>
    <t>Начисление</t>
  </si>
  <si>
    <t>ИТОГО</t>
  </si>
  <si>
    <t>позиции</t>
  </si>
  <si>
    <t>содерж жилья</t>
  </si>
  <si>
    <t>отопления</t>
  </si>
  <si>
    <t>водоотведения</t>
  </si>
  <si>
    <t>ХВС</t>
  </si>
  <si>
    <t>ГВС</t>
  </si>
  <si>
    <t>подпит вода</t>
  </si>
  <si>
    <t>подогрев воды</t>
  </si>
  <si>
    <t>ремонт здания</t>
  </si>
  <si>
    <t>13,76*34=467,84</t>
  </si>
  <si>
    <t>18,84*34=640,56</t>
  </si>
  <si>
    <t>15,52*34=527,68</t>
  </si>
  <si>
    <t>15,67*34=532,78</t>
  </si>
  <si>
    <t>В-е 12*6,49=77,88</t>
  </si>
  <si>
    <t>ХВС 9*5,67=51,03</t>
  </si>
  <si>
    <t>ГВС3*48,68=146,04</t>
  </si>
  <si>
    <t>12*7,50=90</t>
  </si>
  <si>
    <t>9*6,31=56,79</t>
  </si>
  <si>
    <t>3*53,30=159,90</t>
  </si>
  <si>
    <t>холод</t>
  </si>
  <si>
    <t xml:space="preserve"> вода</t>
  </si>
  <si>
    <t>сборы</t>
  </si>
  <si>
    <t xml:space="preserve">Начисление  доходов  за 2010год </t>
  </si>
  <si>
    <t>по  дому  по адресу  Франк каменецкого 28</t>
  </si>
  <si>
    <t xml:space="preserve">з плата  </t>
  </si>
  <si>
    <t xml:space="preserve">з плата </t>
  </si>
  <si>
    <t xml:space="preserve">налог </t>
  </si>
  <si>
    <t xml:space="preserve">содер </t>
  </si>
  <si>
    <t xml:space="preserve">ком </t>
  </si>
  <si>
    <t xml:space="preserve">инвентарь </t>
  </si>
  <si>
    <t>итого</t>
  </si>
  <si>
    <t xml:space="preserve">дворник </t>
  </si>
  <si>
    <t xml:space="preserve">вывоз </t>
  </si>
  <si>
    <t>ТБО</t>
  </si>
  <si>
    <t>уборщицы</t>
  </si>
  <si>
    <t>канали-</t>
  </si>
  <si>
    <t>зация</t>
  </si>
  <si>
    <t xml:space="preserve">тепло и </t>
  </si>
  <si>
    <t xml:space="preserve"> </t>
  </si>
  <si>
    <t>тех.</t>
  </si>
  <si>
    <t>матер-лы</t>
  </si>
  <si>
    <t>сопровожд</t>
  </si>
  <si>
    <t>приб.учёта</t>
  </si>
  <si>
    <t xml:space="preserve">ремонт </t>
  </si>
  <si>
    <t>ТО домоф</t>
  </si>
  <si>
    <t>доставка</t>
  </si>
  <si>
    <t>песка</t>
  </si>
  <si>
    <t>снега</t>
  </si>
  <si>
    <t>электро-</t>
  </si>
  <si>
    <t>энергия</t>
  </si>
  <si>
    <t>Начисление и сбор за жилые помещения  в 2011 год по адресу Баумана 214/6</t>
  </si>
  <si>
    <t>Дезин</t>
  </si>
  <si>
    <t>секция</t>
  </si>
  <si>
    <t xml:space="preserve">авар.техн. </t>
  </si>
  <si>
    <t>Домо-</t>
  </si>
  <si>
    <t>управ</t>
  </si>
  <si>
    <t>(без учета коммунальных услуг)</t>
  </si>
  <si>
    <t>2011 год</t>
  </si>
  <si>
    <t xml:space="preserve">вознаг ук </t>
  </si>
  <si>
    <t>факт затраты</t>
  </si>
  <si>
    <t>сог-но тарифа 1,73</t>
  </si>
  <si>
    <t>фактических затрат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</si>
</sst>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4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i/>
      <sz val="9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2" fillId="0" borderId="0" xfId="0" applyFont="1"/>
    <xf numFmtId="0" fontId="0" fillId="0" borderId="1" xfId="0" applyFont="1" applyBorder="1"/>
    <xf numFmtId="0" fontId="0" fillId="0" borderId="0" xfId="0"/>
    <xf numFmtId="0" fontId="0" fillId="3" borderId="0" xfId="0" applyFill="1"/>
    <xf numFmtId="4" fontId="0" fillId="0" borderId="1" xfId="0" applyNumberFormat="1" applyBorder="1"/>
    <xf numFmtId="0" fontId="0" fillId="0" borderId="0" xfId="0"/>
    <xf numFmtId="0" fontId="3" fillId="0" borderId="0" xfId="0" applyFont="1" applyFill="1" applyBorder="1"/>
    <xf numFmtId="0" fontId="5" fillId="3" borderId="0" xfId="0" applyFont="1" applyFill="1" applyBorder="1"/>
    <xf numFmtId="0" fontId="0" fillId="0" borderId="0" xfId="0"/>
    <xf numFmtId="4" fontId="0" fillId="0" borderId="0" xfId="0" applyNumberFormat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0" fillId="0" borderId="8" xfId="0" applyBorder="1"/>
    <xf numFmtId="2" fontId="0" fillId="0" borderId="8" xfId="0" applyNumberFormat="1" applyBorder="1"/>
    <xf numFmtId="2" fontId="7" fillId="0" borderId="8" xfId="0" applyNumberFormat="1" applyFont="1" applyBorder="1"/>
    <xf numFmtId="0" fontId="1" fillId="0" borderId="0" xfId="0" applyFont="1" applyBorder="1"/>
    <xf numFmtId="0" fontId="4" fillId="0" borderId="0" xfId="0" applyFont="1" applyBorder="1"/>
    <xf numFmtId="0" fontId="6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6" fillId="0" borderId="0" xfId="0" applyFont="1" applyBorder="1"/>
    <xf numFmtId="0" fontId="1" fillId="0" borderId="9" xfId="0" applyFont="1" applyFill="1" applyBorder="1"/>
    <xf numFmtId="0" fontId="1" fillId="3" borderId="3" xfId="0" applyFont="1" applyFill="1" applyBorder="1"/>
    <xf numFmtId="2" fontId="1" fillId="3" borderId="3" xfId="0" applyNumberFormat="1" applyFont="1" applyFill="1" applyBorder="1"/>
    <xf numFmtId="2" fontId="1" fillId="0" borderId="3" xfId="0" applyNumberFormat="1" applyFont="1" applyFill="1" applyBorder="1"/>
    <xf numFmtId="0" fontId="1" fillId="0" borderId="3" xfId="0" applyFont="1" applyFill="1" applyBorder="1"/>
    <xf numFmtId="0" fontId="1" fillId="0" borderId="5" xfId="0" applyFont="1" applyFill="1" applyBorder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7" xfId="0" applyFont="1" applyFill="1" applyBorder="1"/>
    <xf numFmtId="0" fontId="1" fillId="0" borderId="2" xfId="0" applyFont="1" applyFill="1" applyBorder="1"/>
    <xf numFmtId="2" fontId="0" fillId="0" borderId="2" xfId="0" applyNumberFormat="1" applyBorder="1"/>
    <xf numFmtId="0" fontId="1" fillId="0" borderId="4" xfId="0" applyFont="1" applyFill="1" applyBorder="1"/>
    <xf numFmtId="0" fontId="0" fillId="3" borderId="0" xfId="0" applyFill="1" applyBorder="1"/>
    <xf numFmtId="2" fontId="0" fillId="0" borderId="0" xfId="0" applyNumberFormat="1" applyBorder="1"/>
    <xf numFmtId="0" fontId="1" fillId="3" borderId="12" xfId="0" applyFont="1" applyFill="1" applyBorder="1"/>
    <xf numFmtId="0" fontId="1" fillId="0" borderId="13" xfId="0" applyFont="1" applyFill="1" applyBorder="1"/>
    <xf numFmtId="2" fontId="0" fillId="0" borderId="0" xfId="0" applyNumberFormat="1"/>
    <xf numFmtId="0" fontId="0" fillId="0" borderId="0" xfId="0"/>
    <xf numFmtId="0" fontId="0" fillId="0" borderId="0" xfId="0"/>
    <xf numFmtId="0" fontId="9" fillId="3" borderId="8" xfId="0" applyFont="1" applyFill="1" applyBorder="1"/>
    <xf numFmtId="0" fontId="9" fillId="3" borderId="9" xfId="0" applyFont="1" applyFill="1" applyBorder="1"/>
    <xf numFmtId="0" fontId="1" fillId="0" borderId="3" xfId="0" applyFont="1" applyBorder="1"/>
    <xf numFmtId="0" fontId="0" fillId="0" borderId="0" xfId="0"/>
    <xf numFmtId="0" fontId="1" fillId="0" borderId="11" xfId="0" applyFont="1" applyFill="1" applyBorder="1"/>
    <xf numFmtId="0" fontId="0" fillId="0" borderId="0" xfId="0"/>
    <xf numFmtId="0" fontId="10" fillId="0" borderId="8" xfId="0" applyFont="1" applyBorder="1"/>
    <xf numFmtId="0" fontId="0" fillId="0" borderId="0" xfId="0"/>
    <xf numFmtId="0" fontId="0" fillId="0" borderId="0" xfId="0"/>
    <xf numFmtId="0" fontId="9" fillId="3" borderId="14" xfId="0" applyFont="1" applyFill="1" applyBorder="1"/>
    <xf numFmtId="0" fontId="9" fillId="3" borderId="12" xfId="0" applyFont="1" applyFill="1" applyBorder="1"/>
    <xf numFmtId="0" fontId="9" fillId="3" borderId="11" xfId="0" applyFont="1" applyFill="1" applyBorder="1"/>
    <xf numFmtId="0" fontId="10" fillId="3" borderId="8" xfId="0" applyFont="1" applyFill="1" applyBorder="1"/>
    <xf numFmtId="2" fontId="1" fillId="0" borderId="3" xfId="0" applyNumberFormat="1" applyFont="1" applyBorder="1"/>
    <xf numFmtId="0" fontId="0" fillId="0" borderId="0" xfId="0"/>
    <xf numFmtId="0" fontId="9" fillId="3" borderId="8" xfId="0" applyFont="1" applyFill="1" applyBorder="1" applyAlignment="1">
      <alignment wrapText="1"/>
    </xf>
    <xf numFmtId="2" fontId="1" fillId="0" borderId="10" xfId="0" applyNumberFormat="1" applyFont="1" applyBorder="1"/>
    <xf numFmtId="0" fontId="9" fillId="0" borderId="16" xfId="0" applyFont="1" applyBorder="1"/>
    <xf numFmtId="0" fontId="1" fillId="4" borderId="3" xfId="0" applyFont="1" applyFill="1" applyBorder="1"/>
    <xf numFmtId="0" fontId="1" fillId="4" borderId="2" xfId="0" applyFont="1" applyFill="1" applyBorder="1"/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I15" sqref="I15"/>
    </sheetView>
  </sheetViews>
  <sheetFormatPr defaultRowHeight="15"/>
  <cols>
    <col min="2" max="2" width="17" customWidth="1"/>
    <col min="3" max="3" width="17.85546875" customWidth="1"/>
    <col min="4" max="4" width="21.140625" customWidth="1"/>
    <col min="5" max="5" width="14.42578125" customWidth="1"/>
    <col min="6" max="6" width="12.85546875" customWidth="1"/>
    <col min="7" max="7" width="10.28515625" customWidth="1"/>
  </cols>
  <sheetData>
    <row r="1" spans="1:10" ht="14.25" customHeight="1"/>
    <row r="2" spans="1:10" ht="9.75" hidden="1" customHeight="1"/>
    <row r="3" spans="1:10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>
      <c r="B5" s="27"/>
      <c r="C5" s="7"/>
      <c r="D5" s="7"/>
      <c r="E5" s="7"/>
      <c r="F5" s="7"/>
      <c r="G5" s="7"/>
      <c r="H5" s="7"/>
      <c r="I5" s="7"/>
      <c r="J5" s="7"/>
    </row>
    <row r="6" spans="1:10">
      <c r="B6" s="7"/>
      <c r="C6" s="7"/>
      <c r="D6" s="7"/>
      <c r="E6" s="7"/>
      <c r="F6" s="7"/>
      <c r="G6" s="7"/>
      <c r="H6" s="7"/>
      <c r="I6" s="7"/>
      <c r="J6" s="7"/>
    </row>
    <row r="7" spans="1:10">
      <c r="B7" s="7"/>
      <c r="C7" s="7"/>
      <c r="D7" s="7"/>
      <c r="E7" s="7"/>
      <c r="F7" s="7"/>
      <c r="G7" s="7"/>
      <c r="H7" s="7"/>
      <c r="I7" s="7"/>
      <c r="J7" s="7"/>
    </row>
    <row r="8" spans="1:10">
      <c r="B8" s="7"/>
      <c r="C8" s="7"/>
      <c r="D8" s="7"/>
      <c r="E8" s="7"/>
      <c r="F8" s="7"/>
      <c r="G8" s="7"/>
      <c r="H8" s="7"/>
      <c r="I8" s="7"/>
      <c r="J8" s="7"/>
    </row>
    <row r="9" spans="1:10">
      <c r="B9" s="7"/>
      <c r="C9" s="27"/>
      <c r="D9" s="27"/>
      <c r="E9" s="7"/>
      <c r="F9" s="7"/>
      <c r="G9" s="7"/>
      <c r="H9" s="7"/>
      <c r="I9" s="7"/>
      <c r="J9" s="7"/>
    </row>
    <row r="10" spans="1:10">
      <c r="B10" s="78" t="s">
        <v>77</v>
      </c>
      <c r="C10" s="78"/>
      <c r="D10" s="78"/>
      <c r="E10" s="78"/>
    </row>
    <row r="11" spans="1:10" ht="27.75" customHeight="1">
      <c r="B11" s="79"/>
      <c r="C11" s="79"/>
      <c r="D11" s="79"/>
      <c r="E11" s="79"/>
    </row>
    <row r="12" spans="1:10" ht="18.75">
      <c r="B12" s="18"/>
      <c r="C12" s="18" t="s">
        <v>83</v>
      </c>
      <c r="D12" s="18"/>
      <c r="E12" s="18"/>
    </row>
    <row r="13" spans="1:10" ht="15.75" thickBot="1">
      <c r="B13" s="65"/>
      <c r="C13" s="65"/>
      <c r="D13" s="65"/>
      <c r="E13" s="65"/>
    </row>
    <row r="14" spans="1:10" ht="15.75" thickBot="1">
      <c r="B14" s="28" t="s">
        <v>14</v>
      </c>
      <c r="C14" s="28" t="s">
        <v>1</v>
      </c>
      <c r="D14" s="28" t="s">
        <v>2</v>
      </c>
      <c r="E14" s="29" t="s">
        <v>18</v>
      </c>
    </row>
    <row r="15" spans="1:10" ht="21" customHeight="1" thickBot="1">
      <c r="B15" s="29" t="s">
        <v>84</v>
      </c>
      <c r="C15" s="30">
        <f>581103.18+188460.68</f>
        <v>769563.8600000001</v>
      </c>
      <c r="D15" s="30">
        <f>539748.33+147723.58</f>
        <v>687471.90999999992</v>
      </c>
      <c r="E15" s="31">
        <f>D15/C15*100</f>
        <v>89.332665647786499</v>
      </c>
    </row>
    <row r="16" spans="1:10" ht="15.75" thickBot="1">
      <c r="B16" s="29" t="s">
        <v>19</v>
      </c>
      <c r="C16" s="29">
        <f>SUM(C15:C15)</f>
        <v>769563.8600000001</v>
      </c>
      <c r="D16" s="29">
        <f>SUM(D15:D15)</f>
        <v>687471.90999999992</v>
      </c>
      <c r="E16" s="32">
        <f>+D16/C16*100</f>
        <v>89.332665647786499</v>
      </c>
    </row>
  </sheetData>
  <mergeCells count="1">
    <mergeCell ref="B10:E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9"/>
  <sheetViews>
    <sheetView tabSelected="1" workbookViewId="0">
      <selection activeCell="P32" sqref="P32"/>
    </sheetView>
  </sheetViews>
  <sheetFormatPr defaultRowHeight="15"/>
  <cols>
    <col min="1" max="1" width="0.28515625" customWidth="1"/>
    <col min="2" max="2" width="10.85546875" customWidth="1"/>
    <col min="3" max="3" width="7.5703125" customWidth="1"/>
    <col min="4" max="4" width="8.5703125" customWidth="1"/>
    <col min="5" max="5" width="7.28515625" customWidth="1"/>
    <col min="6" max="6" width="8.7109375" customWidth="1"/>
    <col min="7" max="7" width="7.42578125" hidden="1" customWidth="1"/>
    <col min="8" max="8" width="6.140625" hidden="1" customWidth="1"/>
    <col min="9" max="9" width="5.85546875" hidden="1" customWidth="1"/>
    <col min="10" max="10" width="6.28515625" hidden="1" customWidth="1"/>
    <col min="11" max="11" width="6.42578125" style="23" hidden="1" customWidth="1"/>
    <col min="12" max="12" width="10.140625" customWidth="1"/>
    <col min="13" max="13" width="5.5703125" customWidth="1"/>
    <col min="14" max="14" width="6.7109375" customWidth="1"/>
    <col min="15" max="15" width="10.140625" style="55" customWidth="1"/>
    <col min="16" max="16" width="9.140625" style="55" customWidth="1"/>
    <col min="17" max="17" width="5.42578125" style="55" customWidth="1"/>
    <col min="18" max="18" width="6" style="56" customWidth="1"/>
    <col min="19" max="19" width="6.5703125" style="64" customWidth="1"/>
    <col min="20" max="20" width="8.85546875" style="71" customWidth="1"/>
    <col min="21" max="21" width="9.28515625" style="20" customWidth="1"/>
    <col min="22" max="22" width="7.42578125" customWidth="1"/>
    <col min="23" max="23" width="8.7109375" customWidth="1"/>
    <col min="24" max="24" width="12.140625" customWidth="1"/>
    <col min="25" max="25" width="6.5703125" customWidth="1"/>
    <col min="26" max="26" width="9.5703125" customWidth="1"/>
  </cols>
  <sheetData>
    <row r="1" spans="1:26" ht="45" customHeight="1">
      <c r="B1" s="82" t="s">
        <v>65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26"/>
      <c r="Z1" s="26"/>
    </row>
    <row r="2" spans="1:26" ht="21.75" customHeight="1">
      <c r="A2" s="7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33"/>
      <c r="Z2" s="33"/>
    </row>
    <row r="3" spans="1:26" ht="6.75" customHeight="1" thickBot="1">
      <c r="A3" s="7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33"/>
      <c r="Z3" s="33"/>
    </row>
    <row r="4" spans="1:26" ht="15.75" thickBot="1">
      <c r="A4" s="50"/>
      <c r="B4" s="80" t="s">
        <v>24</v>
      </c>
      <c r="C4" s="57" t="s">
        <v>51</v>
      </c>
      <c r="D4" s="57" t="s">
        <v>52</v>
      </c>
      <c r="E4" s="57" t="s">
        <v>53</v>
      </c>
      <c r="F4" s="57" t="s">
        <v>81</v>
      </c>
      <c r="G4" s="57" t="s">
        <v>75</v>
      </c>
      <c r="H4" s="57" t="s">
        <v>64</v>
      </c>
      <c r="I4" s="57" t="s">
        <v>66</v>
      </c>
      <c r="J4" s="57" t="s">
        <v>62</v>
      </c>
      <c r="K4" s="58" t="s">
        <v>46</v>
      </c>
      <c r="L4" s="66" t="s">
        <v>80</v>
      </c>
      <c r="M4" s="67" t="s">
        <v>59</v>
      </c>
      <c r="N4" s="57" t="s">
        <v>54</v>
      </c>
      <c r="O4" s="57" t="s">
        <v>68</v>
      </c>
      <c r="P4" s="57" t="s">
        <v>70</v>
      </c>
      <c r="Q4" s="57" t="s">
        <v>72</v>
      </c>
      <c r="R4" s="57" t="s">
        <v>59</v>
      </c>
      <c r="S4" s="57" t="s">
        <v>78</v>
      </c>
      <c r="T4" s="84" t="s">
        <v>85</v>
      </c>
      <c r="U4" s="85"/>
      <c r="V4" s="57" t="s">
        <v>55</v>
      </c>
      <c r="W4" s="58" t="s">
        <v>56</v>
      </c>
      <c r="X4" s="74" t="s">
        <v>57</v>
      </c>
      <c r="Y4" s="33"/>
      <c r="Z4" s="33"/>
    </row>
    <row r="5" spans="1:26" ht="39" customHeight="1" thickBot="1">
      <c r="A5" s="50"/>
      <c r="B5" s="81"/>
      <c r="C5" s="57" t="s">
        <v>58</v>
      </c>
      <c r="D5" s="57" t="s">
        <v>61</v>
      </c>
      <c r="E5" s="57" t="s">
        <v>17</v>
      </c>
      <c r="F5" s="57" t="s">
        <v>82</v>
      </c>
      <c r="G5" s="57" t="s">
        <v>76</v>
      </c>
      <c r="H5" s="57" t="s">
        <v>32</v>
      </c>
      <c r="I5" s="57" t="s">
        <v>15</v>
      </c>
      <c r="J5" s="57" t="s">
        <v>63</v>
      </c>
      <c r="K5" s="58" t="s">
        <v>47</v>
      </c>
      <c r="L5" s="68" t="s">
        <v>15</v>
      </c>
      <c r="M5" s="67" t="s">
        <v>60</v>
      </c>
      <c r="N5" s="57" t="s">
        <v>16</v>
      </c>
      <c r="O5" s="57" t="s">
        <v>69</v>
      </c>
      <c r="P5" s="57" t="s">
        <v>71</v>
      </c>
      <c r="Q5" s="57" t="s">
        <v>73</v>
      </c>
      <c r="R5" s="57" t="s">
        <v>74</v>
      </c>
      <c r="S5" s="57" t="s">
        <v>79</v>
      </c>
      <c r="T5" s="72" t="s">
        <v>87</v>
      </c>
      <c r="U5" s="72" t="s">
        <v>86</v>
      </c>
      <c r="V5" s="57" t="s">
        <v>48</v>
      </c>
      <c r="W5" s="58" t="s">
        <v>67</v>
      </c>
      <c r="X5" s="77" t="s">
        <v>88</v>
      </c>
      <c r="Y5" s="25"/>
      <c r="Z5" s="25"/>
    </row>
    <row r="6" spans="1:26" ht="26.25" customHeight="1" thickBot="1">
      <c r="A6" s="7"/>
      <c r="B6" s="63" t="s">
        <v>0</v>
      </c>
      <c r="C6" s="38">
        <v>4597.7</v>
      </c>
      <c r="D6" s="39">
        <v>8735.6299999999992</v>
      </c>
      <c r="E6" s="40">
        <f>(C6+D6)*26.2%</f>
        <v>3493.3324599999996</v>
      </c>
      <c r="F6" s="41"/>
      <c r="G6" s="41"/>
      <c r="H6" s="42"/>
      <c r="I6" s="42"/>
      <c r="J6" s="42"/>
      <c r="K6" s="43"/>
      <c r="L6" s="61">
        <v>20179</v>
      </c>
      <c r="M6" s="52">
        <v>1800</v>
      </c>
      <c r="N6" s="42"/>
      <c r="O6" s="42"/>
      <c r="P6" s="42"/>
      <c r="Q6" s="42"/>
      <c r="R6" s="42"/>
      <c r="S6" s="42"/>
      <c r="T6" s="75">
        <f>1.73*4994.8</f>
        <v>8641.0040000000008</v>
      </c>
      <c r="U6" s="42">
        <f>5.26*4994.8</f>
        <v>26272.648000000001</v>
      </c>
      <c r="V6" s="70">
        <v>1282.6199999999999</v>
      </c>
      <c r="W6" s="43"/>
      <c r="X6" s="73">
        <f>+C6+D6+E6+F6+L6+M6+N6+O6+P6+Q6+R6+S6+U6+V6+W6</f>
        <v>66360.930460000003</v>
      </c>
      <c r="Y6" s="25"/>
      <c r="Z6" s="25"/>
    </row>
    <row r="7" spans="1:26" ht="15.75" thickBot="1">
      <c r="A7" s="7"/>
      <c r="B7" s="63" t="s">
        <v>3</v>
      </c>
      <c r="C7" s="38">
        <v>4597.7</v>
      </c>
      <c r="D7" s="39">
        <v>8735.6299999999992</v>
      </c>
      <c r="E7" s="45">
        <f>(C7+D7)*26.2%</f>
        <v>3493.3324599999996</v>
      </c>
      <c r="F7" s="41"/>
      <c r="G7" s="41"/>
      <c r="H7" s="42"/>
      <c r="I7" s="42"/>
      <c r="J7" s="42"/>
      <c r="K7" s="43"/>
      <c r="L7" s="61">
        <v>20179</v>
      </c>
      <c r="M7" s="52">
        <f>1440+12950</f>
        <v>14390</v>
      </c>
      <c r="N7" s="42">
        <v>4600</v>
      </c>
      <c r="O7" s="42"/>
      <c r="P7" s="42"/>
      <c r="Q7" s="42"/>
      <c r="R7" s="42">
        <f>6000+3650</f>
        <v>9650</v>
      </c>
      <c r="S7" s="42"/>
      <c r="T7" s="75">
        <f t="shared" ref="T7:T17" si="0">1.73*4994.8</f>
        <v>8641.0040000000008</v>
      </c>
      <c r="U7" s="42">
        <f t="shared" ref="U7:U17" si="1">5.26*4994.8</f>
        <v>26272.648000000001</v>
      </c>
      <c r="V7" s="70">
        <v>2352.16</v>
      </c>
      <c r="W7" s="43">
        <f>119.17+767.28+578.53+194+184.75+157.43</f>
        <v>2001.16</v>
      </c>
      <c r="X7" s="73">
        <f t="shared" ref="X7:X18" si="2">+C7+D7+E7+F7+L7+M7+N7+O7+P7+Q7+R7+S7+U7+V7+W7</f>
        <v>96271.63046</v>
      </c>
      <c r="Y7" s="35"/>
      <c r="Z7" s="34"/>
    </row>
    <row r="8" spans="1:26" ht="15.75" thickBot="1">
      <c r="A8" s="7"/>
      <c r="B8" s="63" t="s">
        <v>4</v>
      </c>
      <c r="C8" s="38">
        <v>4597.7</v>
      </c>
      <c r="D8" s="39">
        <v>8735.6299999999992</v>
      </c>
      <c r="E8" s="45">
        <f>(C8+D8)*26.2%</f>
        <v>3493.3324599999996</v>
      </c>
      <c r="F8" s="41">
        <v>3909.56</v>
      </c>
      <c r="G8" s="41"/>
      <c r="H8" s="42"/>
      <c r="I8" s="42"/>
      <c r="J8" s="42"/>
      <c r="K8" s="43"/>
      <c r="L8" s="61">
        <v>20179</v>
      </c>
      <c r="M8" s="52">
        <v>3060</v>
      </c>
      <c r="N8" s="42">
        <v>9200</v>
      </c>
      <c r="O8" s="42"/>
      <c r="P8" s="42"/>
      <c r="Q8" s="42"/>
      <c r="R8" s="42"/>
      <c r="S8" s="42"/>
      <c r="T8" s="75">
        <f t="shared" si="0"/>
        <v>8641.0040000000008</v>
      </c>
      <c r="U8" s="42">
        <f t="shared" si="1"/>
        <v>26272.648000000001</v>
      </c>
      <c r="V8" s="70">
        <v>3265.26</v>
      </c>
      <c r="W8" s="43">
        <f>142.17+116+97.91+152.6+123.73+322.04+211.85+50+330.51</f>
        <v>1546.81</v>
      </c>
      <c r="X8" s="73">
        <f t="shared" si="2"/>
        <v>84259.940459999998</v>
      </c>
      <c r="Y8" s="35"/>
      <c r="Z8" s="34"/>
    </row>
    <row r="9" spans="1:26" ht="15.75" thickBot="1">
      <c r="A9" s="7"/>
      <c r="B9" s="63" t="s">
        <v>5</v>
      </c>
      <c r="C9" s="38">
        <v>4597.7</v>
      </c>
      <c r="D9" s="39">
        <v>8735.6299999999992</v>
      </c>
      <c r="E9" s="45">
        <f>(C9+D9)*26.2%</f>
        <v>3493.3324599999996</v>
      </c>
      <c r="F9" s="41">
        <f t="shared" ref="F9:F17" si="3">1.23*4994.8</f>
        <v>6143.6040000000003</v>
      </c>
      <c r="G9" s="41"/>
      <c r="H9" s="42"/>
      <c r="I9" s="42"/>
      <c r="J9" s="42"/>
      <c r="K9" s="43"/>
      <c r="L9" s="61">
        <v>20179</v>
      </c>
      <c r="M9" s="52">
        <v>8910</v>
      </c>
      <c r="N9" s="42">
        <v>9200</v>
      </c>
      <c r="O9" s="42"/>
      <c r="P9" s="42"/>
      <c r="Q9" s="42"/>
      <c r="R9" s="42"/>
      <c r="S9" s="42"/>
      <c r="T9" s="75">
        <f t="shared" si="0"/>
        <v>8641.0040000000008</v>
      </c>
      <c r="U9" s="42">
        <f t="shared" si="1"/>
        <v>26272.648000000001</v>
      </c>
      <c r="V9" s="70">
        <v>4642.6499999999996</v>
      </c>
      <c r="W9" s="43">
        <f>88.04+89.21+134.84+159.6+161.25+46</f>
        <v>678.94</v>
      </c>
      <c r="X9" s="73">
        <f t="shared" si="2"/>
        <v>92853.504459999996</v>
      </c>
      <c r="Y9" s="35"/>
      <c r="Z9" s="34"/>
    </row>
    <row r="10" spans="1:26" ht="15.75" thickBot="1">
      <c r="A10" s="7"/>
      <c r="B10" s="69" t="s">
        <v>6</v>
      </c>
      <c r="C10" s="38">
        <v>4597.7</v>
      </c>
      <c r="D10" s="39">
        <v>8735.6299999999992</v>
      </c>
      <c r="E10" s="45">
        <f>(C10+D10)*34.2%</f>
        <v>4559.9988599999997</v>
      </c>
      <c r="F10" s="41">
        <f t="shared" si="3"/>
        <v>6143.6040000000003</v>
      </c>
      <c r="G10" s="41"/>
      <c r="H10" s="42"/>
      <c r="I10" s="42"/>
      <c r="J10" s="42"/>
      <c r="K10" s="43"/>
      <c r="L10" s="61">
        <v>20179</v>
      </c>
      <c r="M10" s="52">
        <f>2100+2100+2790</f>
        <v>6990</v>
      </c>
      <c r="N10" s="42">
        <v>9200</v>
      </c>
      <c r="O10" s="42"/>
      <c r="P10" s="42"/>
      <c r="Q10" s="42"/>
      <c r="R10" s="42"/>
      <c r="S10" s="42"/>
      <c r="T10" s="75">
        <f t="shared" si="0"/>
        <v>8641.0040000000008</v>
      </c>
      <c r="U10" s="42">
        <f t="shared" si="1"/>
        <v>26272.648000000001</v>
      </c>
      <c r="V10" s="70">
        <v>2713.65</v>
      </c>
      <c r="W10" s="43">
        <f>149.12+50.9+39.45+155.16+95.83+71.5+214.7+41.2+166.81+80.57+46+84+120</f>
        <v>1315.24</v>
      </c>
      <c r="X10" s="73">
        <f t="shared" si="2"/>
        <v>90707.470860000001</v>
      </c>
      <c r="Y10" s="35"/>
      <c r="Z10" s="34"/>
    </row>
    <row r="11" spans="1:26" ht="15.75" thickBot="1">
      <c r="A11" s="7"/>
      <c r="B11" s="63" t="s">
        <v>7</v>
      </c>
      <c r="C11" s="38">
        <v>4597.7</v>
      </c>
      <c r="D11" s="39">
        <v>8735.6299999999992</v>
      </c>
      <c r="E11" s="45">
        <f>(C11+D11)*34.2%</f>
        <v>4559.9988599999997</v>
      </c>
      <c r="F11" s="41">
        <f t="shared" si="3"/>
        <v>6143.6040000000003</v>
      </c>
      <c r="G11" s="41"/>
      <c r="H11" s="42"/>
      <c r="I11" s="42"/>
      <c r="J11" s="42"/>
      <c r="K11" s="43"/>
      <c r="L11" s="61">
        <v>20179</v>
      </c>
      <c r="M11" s="52">
        <v>4410</v>
      </c>
      <c r="N11" s="42">
        <v>9200</v>
      </c>
      <c r="O11" s="42"/>
      <c r="P11" s="42">
        <v>960</v>
      </c>
      <c r="Q11" s="42"/>
      <c r="R11" s="42"/>
      <c r="S11" s="42"/>
      <c r="T11" s="75">
        <f t="shared" si="0"/>
        <v>8641.0040000000008</v>
      </c>
      <c r="U11" s="42">
        <f t="shared" si="1"/>
        <v>26272.648000000001</v>
      </c>
      <c r="V11" s="70">
        <v>3445.83</v>
      </c>
      <c r="W11" s="43">
        <f>57.22+91.52+77.97+54+79.2+53.2+286+48.2+44</f>
        <v>791.31000000000006</v>
      </c>
      <c r="X11" s="73">
        <f t="shared" si="2"/>
        <v>89295.720860000001</v>
      </c>
      <c r="Y11" s="35"/>
      <c r="Z11" s="34"/>
    </row>
    <row r="12" spans="1:26" ht="15.75" thickBot="1">
      <c r="A12" s="7"/>
      <c r="B12" s="63" t="s">
        <v>8</v>
      </c>
      <c r="C12" s="38">
        <v>4597.7</v>
      </c>
      <c r="D12" s="39">
        <v>8735.6299999999992</v>
      </c>
      <c r="E12" s="45">
        <f>(C12+D12)*34.2%</f>
        <v>4559.9988599999997</v>
      </c>
      <c r="F12" s="41">
        <f t="shared" si="3"/>
        <v>6143.6040000000003</v>
      </c>
      <c r="G12" s="41"/>
      <c r="H12" s="42"/>
      <c r="I12" s="42"/>
      <c r="J12" s="42"/>
      <c r="K12" s="43"/>
      <c r="L12" s="61">
        <v>20179</v>
      </c>
      <c r="M12" s="52">
        <v>5220</v>
      </c>
      <c r="N12" s="42">
        <v>9200</v>
      </c>
      <c r="O12" s="42"/>
      <c r="P12" s="42"/>
      <c r="Q12" s="42"/>
      <c r="R12" s="42"/>
      <c r="S12" s="42"/>
      <c r="T12" s="75">
        <f t="shared" si="0"/>
        <v>8641.0040000000008</v>
      </c>
      <c r="U12" s="42">
        <f t="shared" si="1"/>
        <v>26272.648000000001</v>
      </c>
      <c r="V12" s="70">
        <v>3193.41</v>
      </c>
      <c r="W12" s="43">
        <f>24.1+33.9+105.5+27.6+2.97+405.59+105.6+68.64+242.03+152.54+97.88+110+75.6+62.5</f>
        <v>1514.4499999999998</v>
      </c>
      <c r="X12" s="73">
        <f t="shared" si="2"/>
        <v>89616.440860000002</v>
      </c>
      <c r="Y12" s="35"/>
      <c r="Z12" s="34"/>
    </row>
    <row r="13" spans="1:26" ht="15.75" thickBot="1">
      <c r="A13" s="7"/>
      <c r="B13" s="63" t="s">
        <v>9</v>
      </c>
      <c r="C13" s="38">
        <v>4597.7</v>
      </c>
      <c r="D13" s="39">
        <v>8735.6299999999992</v>
      </c>
      <c r="E13" s="45">
        <f t="shared" ref="E13:E17" si="4">(C13+D13)*34.2%</f>
        <v>4559.9988599999997</v>
      </c>
      <c r="F13" s="41">
        <f t="shared" si="3"/>
        <v>6143.6040000000003</v>
      </c>
      <c r="G13" s="41"/>
      <c r="H13" s="42"/>
      <c r="I13" s="42"/>
      <c r="J13" s="42"/>
      <c r="K13" s="43"/>
      <c r="L13" s="61">
        <v>20179</v>
      </c>
      <c r="M13" s="52">
        <v>2880</v>
      </c>
      <c r="N13" s="42">
        <v>9200</v>
      </c>
      <c r="O13" s="42">
        <v>900</v>
      </c>
      <c r="P13" s="42"/>
      <c r="Q13" s="42">
        <v>1000</v>
      </c>
      <c r="R13" s="42"/>
      <c r="S13" s="42"/>
      <c r="T13" s="75">
        <f t="shared" si="0"/>
        <v>8641.0040000000008</v>
      </c>
      <c r="U13" s="42">
        <f t="shared" si="1"/>
        <v>26272.648000000001</v>
      </c>
      <c r="V13" s="70">
        <v>2920.63</v>
      </c>
      <c r="W13" s="43">
        <f>48.2+161.02+69.49+28.81+349.5+80.68+118.8+20.6+61.02+37.8+357.5</f>
        <v>1333.42</v>
      </c>
      <c r="X13" s="73">
        <f t="shared" si="2"/>
        <v>88722.630860000005</v>
      </c>
      <c r="Y13" s="35"/>
      <c r="Z13" s="34"/>
    </row>
    <row r="14" spans="1:26" ht="15.75" thickBot="1">
      <c r="A14" s="7"/>
      <c r="B14" s="63" t="s">
        <v>10</v>
      </c>
      <c r="C14" s="38">
        <v>4597.7</v>
      </c>
      <c r="D14" s="39">
        <v>8735.6299999999992</v>
      </c>
      <c r="E14" s="45">
        <f t="shared" si="4"/>
        <v>4559.9988599999997</v>
      </c>
      <c r="F14" s="41">
        <f t="shared" si="3"/>
        <v>6143.6040000000003</v>
      </c>
      <c r="G14" s="41"/>
      <c r="H14" s="42"/>
      <c r="I14" s="42"/>
      <c r="J14" s="42"/>
      <c r="K14" s="43"/>
      <c r="L14" s="61">
        <v>20179</v>
      </c>
      <c r="M14" s="52">
        <v>5644</v>
      </c>
      <c r="N14" s="42">
        <v>9200</v>
      </c>
      <c r="O14" s="42">
        <v>750</v>
      </c>
      <c r="P14" s="42"/>
      <c r="Q14" s="42"/>
      <c r="R14" s="42"/>
      <c r="S14" s="42"/>
      <c r="T14" s="75">
        <f t="shared" si="0"/>
        <v>8641.0040000000008</v>
      </c>
      <c r="U14" s="42">
        <f t="shared" si="1"/>
        <v>26272.648000000001</v>
      </c>
      <c r="V14" s="70">
        <v>3146.88</v>
      </c>
      <c r="W14" s="43">
        <f>48.2+30.2+17.8+118+28.81+80.68+36+39.6+20.6+61.02+357.5+75.6</f>
        <v>914.0100000000001</v>
      </c>
      <c r="X14" s="73">
        <f t="shared" si="2"/>
        <v>90143.470860000001</v>
      </c>
      <c r="Y14" s="35"/>
      <c r="Z14" s="34"/>
    </row>
    <row r="15" spans="1:26" ht="15.75" thickBot="1">
      <c r="A15" s="7"/>
      <c r="B15" s="63" t="s">
        <v>11</v>
      </c>
      <c r="C15" s="38">
        <v>4597.7</v>
      </c>
      <c r="D15" s="39">
        <v>8735.6299999999992</v>
      </c>
      <c r="E15" s="45">
        <f t="shared" si="4"/>
        <v>4559.9988599999997</v>
      </c>
      <c r="F15" s="41">
        <f t="shared" si="3"/>
        <v>6143.6040000000003</v>
      </c>
      <c r="G15" s="41"/>
      <c r="H15" s="42"/>
      <c r="I15" s="42"/>
      <c r="J15" s="42"/>
      <c r="K15" s="43"/>
      <c r="L15" s="61">
        <v>20179</v>
      </c>
      <c r="M15" s="52">
        <f>5130+6390</f>
        <v>11520</v>
      </c>
      <c r="N15" s="42">
        <v>9200</v>
      </c>
      <c r="O15" s="42">
        <v>750</v>
      </c>
      <c r="P15" s="42"/>
      <c r="Q15" s="42"/>
      <c r="R15" s="42"/>
      <c r="S15" s="42"/>
      <c r="T15" s="75">
        <f t="shared" si="0"/>
        <v>8641.0040000000008</v>
      </c>
      <c r="U15" s="42">
        <f t="shared" si="1"/>
        <v>26272.648000000001</v>
      </c>
      <c r="V15" s="70">
        <v>3717.54</v>
      </c>
      <c r="W15" s="43">
        <f>25+700+58.2+19.8+18+45.76+122.03</f>
        <v>988.79</v>
      </c>
      <c r="X15" s="73">
        <f t="shared" si="2"/>
        <v>96664.910859999989</v>
      </c>
      <c r="Y15" s="35"/>
      <c r="Z15" s="34"/>
    </row>
    <row r="16" spans="1:26" ht="15.75" thickBot="1">
      <c r="A16" s="7"/>
      <c r="B16" s="63" t="s">
        <v>12</v>
      </c>
      <c r="C16" s="38">
        <v>4597.7</v>
      </c>
      <c r="D16" s="39">
        <v>8735.6299999999992</v>
      </c>
      <c r="E16" s="45">
        <f t="shared" si="4"/>
        <v>4559.9988599999997</v>
      </c>
      <c r="F16" s="41">
        <f t="shared" si="3"/>
        <v>6143.6040000000003</v>
      </c>
      <c r="G16" s="41"/>
      <c r="H16" s="42"/>
      <c r="I16" s="42"/>
      <c r="J16" s="42"/>
      <c r="K16" s="43"/>
      <c r="L16" s="61">
        <v>20179</v>
      </c>
      <c r="M16" s="52">
        <v>1890</v>
      </c>
      <c r="N16" s="42">
        <v>9200</v>
      </c>
      <c r="O16" s="42">
        <v>750</v>
      </c>
      <c r="P16" s="42"/>
      <c r="Q16" s="42"/>
      <c r="R16" s="42"/>
      <c r="S16" s="42">
        <v>3600</v>
      </c>
      <c r="T16" s="75">
        <f t="shared" si="0"/>
        <v>8641.0040000000008</v>
      </c>
      <c r="U16" s="42">
        <f t="shared" si="1"/>
        <v>26272.648000000001</v>
      </c>
      <c r="V16" s="70">
        <v>3190.79</v>
      </c>
      <c r="W16" s="43">
        <f>25+7.86+40.68+50.05+16.9+71.19+75</f>
        <v>286.67999999999995</v>
      </c>
      <c r="X16" s="73">
        <f t="shared" si="2"/>
        <v>89406.050859999988</v>
      </c>
      <c r="Y16" s="35"/>
      <c r="Z16" s="34"/>
    </row>
    <row r="17" spans="1:26" ht="15.75" thickBot="1">
      <c r="A17" s="7"/>
      <c r="B17" s="63" t="s">
        <v>13</v>
      </c>
      <c r="C17" s="38">
        <v>4597.7</v>
      </c>
      <c r="D17" s="39">
        <v>8735.6299999999992</v>
      </c>
      <c r="E17" s="45">
        <f t="shared" si="4"/>
        <v>4559.9988599999997</v>
      </c>
      <c r="F17" s="41">
        <f t="shared" si="3"/>
        <v>6143.6040000000003</v>
      </c>
      <c r="G17" s="41"/>
      <c r="H17" s="42"/>
      <c r="I17" s="42"/>
      <c r="J17" s="42"/>
      <c r="K17" s="43"/>
      <c r="L17" s="61">
        <v>20179</v>
      </c>
      <c r="M17" s="52">
        <v>5400</v>
      </c>
      <c r="N17" s="42">
        <v>9200</v>
      </c>
      <c r="O17" s="42">
        <f>750+750</f>
        <v>1500</v>
      </c>
      <c r="P17" s="42"/>
      <c r="Q17" s="42"/>
      <c r="R17" s="42"/>
      <c r="S17" s="42"/>
      <c r="T17" s="75">
        <f t="shared" si="0"/>
        <v>8641.0040000000008</v>
      </c>
      <c r="U17" s="42">
        <f t="shared" si="1"/>
        <v>26272.648000000001</v>
      </c>
      <c r="V17" s="70">
        <v>1769.52</v>
      </c>
      <c r="W17" s="46">
        <f>25+72+47.6+357.5</f>
        <v>502.1</v>
      </c>
      <c r="X17" s="73">
        <f t="shared" si="2"/>
        <v>88860.200860000012</v>
      </c>
      <c r="Y17" s="35"/>
      <c r="Z17" s="34"/>
    </row>
    <row r="18" spans="1:26" ht="15.75" thickBot="1">
      <c r="A18" s="7"/>
      <c r="B18" s="63"/>
      <c r="C18" s="38"/>
      <c r="D18" s="44"/>
      <c r="E18" s="45"/>
      <c r="F18" s="47"/>
      <c r="G18" s="47"/>
      <c r="H18" s="48"/>
      <c r="I18" s="47"/>
      <c r="J18" s="47"/>
      <c r="K18" s="49"/>
      <c r="L18" s="61"/>
      <c r="M18" s="53"/>
      <c r="N18" s="47"/>
      <c r="O18" s="47"/>
      <c r="P18" s="47"/>
      <c r="Q18" s="47"/>
      <c r="R18" s="47"/>
      <c r="S18" s="47"/>
      <c r="T18" s="76"/>
      <c r="U18" s="47"/>
      <c r="V18" s="59"/>
      <c r="W18" s="49"/>
      <c r="X18" s="73">
        <f t="shared" si="2"/>
        <v>0</v>
      </c>
      <c r="Y18" s="35"/>
      <c r="Z18" s="34"/>
    </row>
    <row r="19" spans="1:26" ht="30.75" customHeight="1" thickBot="1">
      <c r="A19" s="7"/>
      <c r="B19" s="63" t="s">
        <v>57</v>
      </c>
      <c r="C19" s="38">
        <f>SUM(C6:C18)</f>
        <v>55172.399999999987</v>
      </c>
      <c r="D19" s="38">
        <f t="shared" ref="D19:W19" si="5">SUM(D6:D18)</f>
        <v>104827.56000000001</v>
      </c>
      <c r="E19" s="38">
        <f t="shared" si="5"/>
        <v>50453.320719999996</v>
      </c>
      <c r="F19" s="38">
        <f t="shared" si="5"/>
        <v>59201.995999999999</v>
      </c>
      <c r="G19" s="38">
        <f t="shared" si="5"/>
        <v>0</v>
      </c>
      <c r="H19" s="38">
        <f t="shared" si="5"/>
        <v>0</v>
      </c>
      <c r="I19" s="38">
        <f t="shared" si="5"/>
        <v>0</v>
      </c>
      <c r="J19" s="38">
        <f t="shared" si="5"/>
        <v>0</v>
      </c>
      <c r="K19" s="38">
        <f t="shared" si="5"/>
        <v>0</v>
      </c>
      <c r="L19" s="38">
        <f t="shared" si="5"/>
        <v>242148</v>
      </c>
      <c r="M19" s="38">
        <f t="shared" si="5"/>
        <v>72114</v>
      </c>
      <c r="N19" s="38">
        <f t="shared" si="5"/>
        <v>96600</v>
      </c>
      <c r="O19" s="38">
        <f t="shared" si="5"/>
        <v>4650</v>
      </c>
      <c r="P19" s="38">
        <f t="shared" si="5"/>
        <v>960</v>
      </c>
      <c r="Q19" s="38">
        <f t="shared" si="5"/>
        <v>1000</v>
      </c>
      <c r="R19" s="38">
        <f t="shared" si="5"/>
        <v>9650</v>
      </c>
      <c r="S19" s="38">
        <f t="shared" si="5"/>
        <v>3600</v>
      </c>
      <c r="T19" s="38">
        <f t="shared" si="5"/>
        <v>103692.04800000001</v>
      </c>
      <c r="U19" s="38">
        <f t="shared" si="5"/>
        <v>315271.7759999999</v>
      </c>
      <c r="V19" s="38">
        <f t="shared" si="5"/>
        <v>35640.939999999995</v>
      </c>
      <c r="W19" s="38">
        <f t="shared" si="5"/>
        <v>11872.910000000002</v>
      </c>
      <c r="X19" s="73">
        <f>SUM(X6:X18)</f>
        <v>1063162.9027199999</v>
      </c>
      <c r="Y19" s="36"/>
      <c r="Z19" s="36"/>
    </row>
    <row r="20" spans="1:26" ht="15.75" customHeight="1">
      <c r="A20" s="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U20" s="26"/>
      <c r="V20" s="26"/>
      <c r="W20" s="26"/>
      <c r="X20" s="26"/>
      <c r="Y20" s="37"/>
      <c r="Z20" s="37"/>
    </row>
    <row r="21" spans="1:2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51"/>
      <c r="Y21" s="7"/>
      <c r="Z21" s="24"/>
    </row>
    <row r="22" spans="1:2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51"/>
      <c r="Y22" s="7"/>
      <c r="Z22" s="7"/>
    </row>
    <row r="23" spans="1:26">
      <c r="B23" s="60"/>
      <c r="X23" s="54"/>
    </row>
    <row r="25" spans="1:26">
      <c r="C25" s="62"/>
    </row>
    <row r="26" spans="1:26">
      <c r="C26" s="21"/>
      <c r="D26" s="21"/>
      <c r="E26" s="21"/>
      <c r="F26" s="21"/>
    </row>
    <row r="27" spans="1:26">
      <c r="C27" s="21"/>
      <c r="D27" s="21"/>
      <c r="E27" s="21"/>
      <c r="F27" s="21"/>
    </row>
    <row r="28" spans="1:26">
      <c r="C28" s="21"/>
      <c r="D28" s="21"/>
      <c r="E28" s="21"/>
      <c r="F28" s="21"/>
    </row>
    <row r="29" spans="1:26">
      <c r="C29" s="21"/>
      <c r="D29" s="21"/>
      <c r="E29" s="21"/>
      <c r="F29" s="21"/>
    </row>
  </sheetData>
  <mergeCells count="3">
    <mergeCell ref="B4:B5"/>
    <mergeCell ref="B1:X3"/>
    <mergeCell ref="T4:U4"/>
  </mergeCells>
  <pageMargins left="0" right="0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27"/>
  <sheetViews>
    <sheetView workbookViewId="0">
      <selection activeCell="C11" sqref="C11:C22"/>
    </sheetView>
  </sheetViews>
  <sheetFormatPr defaultRowHeight="15"/>
  <cols>
    <col min="2" max="2" width="21.85546875" customWidth="1"/>
    <col min="3" max="3" width="28.28515625" customWidth="1"/>
    <col min="4" max="4" width="15.7109375" hidden="1" customWidth="1"/>
  </cols>
  <sheetData>
    <row r="5" spans="2:5">
      <c r="B5" s="86" t="s">
        <v>49</v>
      </c>
      <c r="C5" s="86"/>
      <c r="D5" s="86"/>
      <c r="E5" s="86"/>
    </row>
    <row r="7" spans="2:5">
      <c r="B7" s="86" t="s">
        <v>50</v>
      </c>
      <c r="C7" s="86"/>
      <c r="D7" s="86"/>
      <c r="E7" s="86"/>
    </row>
    <row r="8" spans="2:5">
      <c r="B8" s="6"/>
      <c r="C8" s="6"/>
      <c r="D8" s="6"/>
      <c r="E8" s="6"/>
    </row>
    <row r="10" spans="2:5" ht="28.5" customHeight="1">
      <c r="B10" s="2" t="s">
        <v>24</v>
      </c>
      <c r="C10" s="2" t="s">
        <v>25</v>
      </c>
      <c r="D10" s="1" t="s">
        <v>18</v>
      </c>
    </row>
    <row r="11" spans="2:5">
      <c r="B11" s="1" t="s">
        <v>0</v>
      </c>
      <c r="C11" s="22">
        <v>318786.83</v>
      </c>
      <c r="D11" s="3" t="e">
        <f>+#REF!/C11*100</f>
        <v>#REF!</v>
      </c>
    </row>
    <row r="12" spans="2:5">
      <c r="B12" s="1" t="s">
        <v>3</v>
      </c>
      <c r="C12" s="19">
        <v>297887.7</v>
      </c>
      <c r="D12" s="3" t="e">
        <f>+#REF!/C12*100</f>
        <v>#REF!</v>
      </c>
    </row>
    <row r="13" spans="2:5">
      <c r="B13" s="1" t="s">
        <v>4</v>
      </c>
      <c r="C13" s="19">
        <v>328870.53000000003</v>
      </c>
      <c r="D13" s="3" t="e">
        <f>+#REF!/C13*100</f>
        <v>#REF!</v>
      </c>
    </row>
    <row r="14" spans="2:5">
      <c r="B14" s="1" t="s">
        <v>5</v>
      </c>
      <c r="C14" s="19">
        <v>-121881.36</v>
      </c>
      <c r="D14" s="3" t="e">
        <f>+#REF!/C14*100</f>
        <v>#REF!</v>
      </c>
    </row>
    <row r="15" spans="2:5">
      <c r="B15" s="1" t="s">
        <v>6</v>
      </c>
      <c r="C15" s="19">
        <v>316699.23</v>
      </c>
      <c r="D15" s="3" t="e">
        <f>+#REF!/C15*100</f>
        <v>#REF!</v>
      </c>
    </row>
    <row r="16" spans="2:5">
      <c r="B16" s="1" t="s">
        <v>7</v>
      </c>
      <c r="C16" s="19">
        <v>299317.34000000003</v>
      </c>
      <c r="D16" s="3" t="e">
        <f>+#REF!/C16*100</f>
        <v>#REF!</v>
      </c>
    </row>
    <row r="17" spans="2:4">
      <c r="B17" s="1" t="s">
        <v>8</v>
      </c>
      <c r="C17" s="19">
        <v>455416.61</v>
      </c>
      <c r="D17" s="3" t="e">
        <f>+#REF!/C17*100</f>
        <v>#REF!</v>
      </c>
    </row>
    <row r="18" spans="2:4">
      <c r="B18" s="1" t="s">
        <v>9</v>
      </c>
      <c r="C18" s="19">
        <v>321206.86</v>
      </c>
      <c r="D18" s="3" t="e">
        <f>+#REF!/C18*100</f>
        <v>#REF!</v>
      </c>
    </row>
    <row r="19" spans="2:4">
      <c r="B19" s="1" t="s">
        <v>10</v>
      </c>
      <c r="C19" s="19">
        <v>324548.15000000002</v>
      </c>
      <c r="D19" s="3" t="e">
        <f>+#REF!/C19*100</f>
        <v>#REF!</v>
      </c>
    </row>
    <row r="20" spans="2:4">
      <c r="B20" s="1" t="s">
        <v>11</v>
      </c>
      <c r="C20" s="19">
        <v>304111.28000000003</v>
      </c>
      <c r="D20" s="3" t="e">
        <f>+#REF!/C20*100</f>
        <v>#REF!</v>
      </c>
    </row>
    <row r="21" spans="2:4">
      <c r="B21" s="1" t="s">
        <v>12</v>
      </c>
      <c r="C21" s="19">
        <v>305577.93</v>
      </c>
      <c r="D21" s="3" t="e">
        <f>+#REF!/C21*100</f>
        <v>#REF!</v>
      </c>
    </row>
    <row r="22" spans="2:4">
      <c r="B22" s="1" t="s">
        <v>13</v>
      </c>
      <c r="C22" s="19">
        <v>255001.1</v>
      </c>
      <c r="D22" s="3" t="e">
        <f>+#REF!/C22*100</f>
        <v>#REF!</v>
      </c>
    </row>
    <row r="23" spans="2:4">
      <c r="B23" s="1" t="s">
        <v>20</v>
      </c>
      <c r="C23" s="1"/>
      <c r="D23" s="3" t="e">
        <f>+#REF!/C23*100</f>
        <v>#REF!</v>
      </c>
    </row>
    <row r="24" spans="2:4" ht="24" customHeight="1">
      <c r="B24" s="1" t="s">
        <v>19</v>
      </c>
      <c r="C24" s="1"/>
      <c r="D24" s="3" t="e">
        <f>+#REF!/C24*100</f>
        <v>#REF!</v>
      </c>
    </row>
    <row r="25" spans="2:4">
      <c r="B25" s="5" t="s">
        <v>21</v>
      </c>
      <c r="C25" s="5"/>
    </row>
    <row r="26" spans="2:4">
      <c r="B26" s="4" t="s">
        <v>22</v>
      </c>
      <c r="C26" s="4"/>
    </row>
    <row r="27" spans="2:4" ht="33" customHeight="1">
      <c r="B27" s="1" t="s">
        <v>23</v>
      </c>
      <c r="C27" s="1">
        <f>SUM(C24:C26)</f>
        <v>0</v>
      </c>
    </row>
  </sheetData>
  <mergeCells count="2">
    <mergeCell ref="B5:E5"/>
    <mergeCell ref="B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4:E17"/>
  <sheetViews>
    <sheetView workbookViewId="0">
      <selection activeCell="E33" sqref="E33"/>
    </sheetView>
  </sheetViews>
  <sheetFormatPr defaultRowHeight="15"/>
  <cols>
    <col min="2" max="2" width="20.7109375" customWidth="1"/>
    <col min="3" max="3" width="17.85546875" customWidth="1"/>
    <col min="4" max="4" width="18.42578125" customWidth="1"/>
    <col min="5" max="5" width="17.42578125" customWidth="1"/>
  </cols>
  <sheetData>
    <row r="4" spans="2:5">
      <c r="B4" s="1" t="s">
        <v>27</v>
      </c>
      <c r="C4" s="11">
        <v>2010</v>
      </c>
      <c r="D4" s="2">
        <v>2009</v>
      </c>
      <c r="E4" s="11">
        <v>2010</v>
      </c>
    </row>
    <row r="5" spans="2:5">
      <c r="B5" s="1" t="s">
        <v>28</v>
      </c>
      <c r="C5" s="12">
        <v>15.52</v>
      </c>
      <c r="D5" s="8" t="s">
        <v>36</v>
      </c>
      <c r="E5" s="12" t="s">
        <v>38</v>
      </c>
    </row>
    <row r="6" spans="2:5">
      <c r="B6" s="1" t="s">
        <v>29</v>
      </c>
      <c r="C6" s="13">
        <v>20.55</v>
      </c>
      <c r="D6" s="9" t="s">
        <v>37</v>
      </c>
      <c r="E6" s="13" t="s">
        <v>39</v>
      </c>
    </row>
    <row r="7" spans="2:5">
      <c r="B7" s="1" t="s">
        <v>30</v>
      </c>
      <c r="C7" s="13">
        <v>87.83</v>
      </c>
      <c r="D7" s="9">
        <v>6.49</v>
      </c>
      <c r="E7" s="13">
        <v>7.5</v>
      </c>
    </row>
    <row r="8" spans="2:5">
      <c r="B8" s="1" t="s">
        <v>31</v>
      </c>
      <c r="C8" s="13">
        <v>47.96</v>
      </c>
      <c r="D8" s="9">
        <v>5.67</v>
      </c>
      <c r="E8" s="13">
        <v>6.31</v>
      </c>
    </row>
    <row r="9" spans="2:5">
      <c r="B9" s="1" t="s">
        <v>32</v>
      </c>
      <c r="C9" s="13">
        <v>226.98</v>
      </c>
      <c r="D9" s="9">
        <v>48.68</v>
      </c>
      <c r="E9" s="13">
        <v>53.3</v>
      </c>
    </row>
    <row r="10" spans="2:5">
      <c r="B10" s="1" t="s">
        <v>33</v>
      </c>
      <c r="C10" s="13"/>
      <c r="D10" s="9"/>
      <c r="E10" s="13"/>
    </row>
    <row r="11" spans="2:5">
      <c r="B11" s="1" t="s">
        <v>34</v>
      </c>
      <c r="C11" s="13"/>
      <c r="D11" s="9"/>
      <c r="E11" s="13"/>
    </row>
    <row r="12" spans="2:5">
      <c r="B12" s="1" t="s">
        <v>35</v>
      </c>
      <c r="C12" s="14"/>
      <c r="D12" s="10"/>
      <c r="E12" s="14"/>
    </row>
    <row r="13" spans="2:5">
      <c r="B13" s="7" t="s">
        <v>26</v>
      </c>
      <c r="C13" s="7"/>
      <c r="D13" s="17">
        <v>1108.4000000000001</v>
      </c>
      <c r="E13" s="15">
        <v>1060.46</v>
      </c>
    </row>
    <row r="14" spans="2:5">
      <c r="D14" t="s">
        <v>40</v>
      </c>
      <c r="E14" t="s">
        <v>43</v>
      </c>
    </row>
    <row r="15" spans="2:5">
      <c r="D15" t="s">
        <v>41</v>
      </c>
      <c r="E15" t="s">
        <v>44</v>
      </c>
    </row>
    <row r="16" spans="2:5">
      <c r="D16" t="s">
        <v>42</v>
      </c>
      <c r="E16" t="s">
        <v>45</v>
      </c>
    </row>
    <row r="17" spans="4:5">
      <c r="D17" s="16">
        <v>1383.35</v>
      </c>
      <c r="E17" s="16">
        <v>1366.25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сбор</vt:lpstr>
      <vt:lpstr>затраты</vt:lpstr>
      <vt:lpstr>доходы</vt:lpstr>
      <vt:lpstr>сравнит таблица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2012-02-29T07:10:07Z</dcterms:modified>
</cp:coreProperties>
</file>